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196FC083-FE2F-46EA-89F6-1DE2EE0995C7}" xr6:coauthVersionLast="47" xr6:coauthVersionMax="47" xr10:uidLastSave="{00000000-0000-0000-0000-000000000000}"/>
  <bookViews>
    <workbookView xWindow="-108" yWindow="-108" windowWidth="23256" windowHeight="12576" activeTab="1" xr2:uid="{C257106A-0721-4BB9-8668-4D99D6414045}"/>
  </bookViews>
  <sheets>
    <sheet name="Main" sheetId="2" r:id="rId1"/>
    <sheet name="Model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4" i="1" l="1"/>
  <c r="AU34" i="1"/>
  <c r="AT34" i="1"/>
  <c r="AS34" i="1"/>
  <c r="AR34" i="1"/>
  <c r="AQ34" i="1"/>
  <c r="AP34" i="1"/>
  <c r="AO34" i="1"/>
  <c r="AN34" i="1"/>
  <c r="AM34" i="1"/>
  <c r="AL34" i="1"/>
  <c r="AR8" i="1" l="1"/>
  <c r="AS8" i="1"/>
  <c r="AT8" i="1" s="1"/>
  <c r="AU8" i="1" s="1"/>
  <c r="AV8" i="1" s="1"/>
  <c r="AW8" i="1" s="1"/>
  <c r="AX8" i="1" s="1"/>
  <c r="AY8" i="1" s="1"/>
  <c r="AZ8" i="1" s="1"/>
  <c r="BA8" i="1" s="1"/>
  <c r="AS7" i="1"/>
  <c r="AT7" i="1" s="1"/>
  <c r="AU7" i="1" s="1"/>
  <c r="AV7" i="1" s="1"/>
  <c r="AW7" i="1" s="1"/>
  <c r="AX7" i="1" s="1"/>
  <c r="AY7" i="1" s="1"/>
  <c r="AZ7" i="1" s="1"/>
  <c r="BA7" i="1" s="1"/>
  <c r="AR7" i="1"/>
  <c r="AQ7" i="1"/>
  <c r="AT3" i="1"/>
  <c r="AU3" i="1" s="1"/>
  <c r="AV3" i="1" s="1"/>
  <c r="AW3" i="1" s="1"/>
  <c r="AX3" i="1" s="1"/>
  <c r="AY3" i="1" s="1"/>
  <c r="AZ3" i="1" s="1"/>
  <c r="BA3" i="1" s="1"/>
  <c r="AQ3" i="1"/>
  <c r="AQ5" i="1"/>
  <c r="AH5" i="1"/>
  <c r="AG5" i="1"/>
  <c r="AF5" i="1"/>
  <c r="AE5" i="1"/>
  <c r="AE4" i="1" s="1"/>
  <c r="AH4" i="1"/>
  <c r="AG4" i="1"/>
  <c r="AF4" i="1"/>
  <c r="AF3" i="1"/>
  <c r="AG3" i="1" s="1"/>
  <c r="AH3" i="1" s="1"/>
  <c r="AE3" i="1"/>
  <c r="AD13" i="1"/>
  <c r="AD12" i="1"/>
  <c r="AD10" i="1"/>
  <c r="AD8" i="1"/>
  <c r="AD7" i="1"/>
  <c r="AD6" i="1"/>
  <c r="AD4" i="1"/>
  <c r="AD3" i="1"/>
  <c r="AP13" i="1"/>
  <c r="AP8" i="1"/>
  <c r="D7" i="2"/>
  <c r="D6" i="2"/>
  <c r="BA15" i="1"/>
  <c r="AZ15" i="1"/>
  <c r="AY15" i="1"/>
  <c r="AX15" i="1"/>
  <c r="AW15" i="1"/>
  <c r="AV15" i="1"/>
  <c r="AU15" i="1"/>
  <c r="AT15" i="1"/>
  <c r="AS15" i="1"/>
  <c r="AR15" i="1"/>
  <c r="AQ15" i="1"/>
  <c r="AP15" i="1"/>
  <c r="D4" i="2"/>
  <c r="M4" i="2"/>
  <c r="N4" i="2"/>
  <c r="M5" i="2"/>
  <c r="N5" i="2"/>
  <c r="N6" i="2"/>
  <c r="K7" i="2"/>
  <c r="N7" i="2"/>
  <c r="K8" i="2"/>
  <c r="N8" i="2"/>
  <c r="N9" i="2"/>
  <c r="N10" i="2"/>
  <c r="N11" i="2"/>
  <c r="K12" i="2"/>
  <c r="M12" i="2"/>
  <c r="N12" i="2"/>
  <c r="M13" i="2"/>
  <c r="N13" i="2"/>
  <c r="N14" i="2"/>
  <c r="J15" i="2"/>
  <c r="L15" i="2"/>
  <c r="M7" i="2" s="1"/>
  <c r="M15" i="2"/>
  <c r="AO22" i="1"/>
  <c r="AN22" i="1"/>
  <c r="AM22" i="1"/>
  <c r="AC22" i="1"/>
  <c r="AB22" i="1"/>
  <c r="AA22" i="1"/>
  <c r="Y22" i="1"/>
  <c r="X22" i="1"/>
  <c r="W22" i="1"/>
  <c r="U22" i="1"/>
  <c r="T22" i="1"/>
  <c r="S22" i="1"/>
  <c r="Q22" i="1"/>
  <c r="P22" i="1"/>
  <c r="O22" i="1"/>
  <c r="M22" i="1"/>
  <c r="L22" i="1"/>
  <c r="K22" i="1"/>
  <c r="I22" i="1"/>
  <c r="H22" i="1"/>
  <c r="G22" i="1"/>
  <c r="AB13" i="1"/>
  <c r="AB5" i="1"/>
  <c r="AC13" i="1"/>
  <c r="AC5" i="1"/>
  <c r="AC20" i="1"/>
  <c r="AB20" i="1"/>
  <c r="AO20" i="1"/>
  <c r="AN20" i="1"/>
  <c r="AM20" i="1"/>
  <c r="AL20" i="1"/>
  <c r="AA20" i="1"/>
  <c r="Y20" i="1"/>
  <c r="X20" i="1"/>
  <c r="W20" i="1"/>
  <c r="U20" i="1"/>
  <c r="T20" i="1"/>
  <c r="S20" i="1"/>
  <c r="Q20" i="1"/>
  <c r="P20" i="1"/>
  <c r="O20" i="1"/>
  <c r="M20" i="1"/>
  <c r="L20" i="1"/>
  <c r="K20" i="1"/>
  <c r="I20" i="1"/>
  <c r="H20" i="1"/>
  <c r="G20" i="1"/>
  <c r="E20" i="1"/>
  <c r="D20" i="1"/>
  <c r="C20" i="1"/>
  <c r="Y13" i="1"/>
  <c r="Y5" i="1"/>
  <c r="Y9" i="1" s="1"/>
  <c r="X13" i="1"/>
  <c r="X5" i="1"/>
  <c r="X18" i="1" s="1"/>
  <c r="AA23" i="1"/>
  <c r="Y23" i="1"/>
  <c r="X23" i="1"/>
  <c r="W23" i="1"/>
  <c r="U23" i="1"/>
  <c r="T23" i="1"/>
  <c r="S23" i="1"/>
  <c r="Q23" i="1"/>
  <c r="P23" i="1"/>
  <c r="AA21" i="1"/>
  <c r="Y21" i="1"/>
  <c r="X21" i="1"/>
  <c r="W21" i="1"/>
  <c r="U21" i="1"/>
  <c r="T21" i="1"/>
  <c r="S21" i="1"/>
  <c r="Q21" i="1"/>
  <c r="P21" i="1"/>
  <c r="Z12" i="1"/>
  <c r="Z7" i="1"/>
  <c r="Z6" i="1"/>
  <c r="Z4" i="1"/>
  <c r="Z3" i="1"/>
  <c r="V12" i="1"/>
  <c r="V7" i="1"/>
  <c r="V6" i="1"/>
  <c r="V4" i="1"/>
  <c r="V3" i="1"/>
  <c r="R12" i="1"/>
  <c r="R7" i="1"/>
  <c r="R6" i="1"/>
  <c r="R4" i="1"/>
  <c r="R3" i="1"/>
  <c r="AO13" i="1"/>
  <c r="AO8" i="1"/>
  <c r="Z8" i="1" s="1"/>
  <c r="AN13" i="1"/>
  <c r="AN8" i="1"/>
  <c r="V8" i="1" s="1"/>
  <c r="AM13" i="1"/>
  <c r="AM8" i="1"/>
  <c r="R8" i="1" s="1"/>
  <c r="AN5" i="1"/>
  <c r="Q13" i="1"/>
  <c r="Q5" i="1"/>
  <c r="Q9" i="1" s="1"/>
  <c r="Q11" i="1" s="1"/>
  <c r="Q25" i="1" s="1"/>
  <c r="U13" i="1"/>
  <c r="U5" i="1"/>
  <c r="U9" i="1" s="1"/>
  <c r="U11" i="1" s="1"/>
  <c r="U25" i="1" s="1"/>
  <c r="P13" i="1"/>
  <c r="P10" i="1"/>
  <c r="P5" i="1"/>
  <c r="P9" i="1" s="1"/>
  <c r="P19" i="1" s="1"/>
  <c r="T13" i="1"/>
  <c r="T10" i="1"/>
  <c r="O23" i="1"/>
  <c r="O21" i="1"/>
  <c r="O13" i="1"/>
  <c r="O10" i="1"/>
  <c r="O5" i="1"/>
  <c r="O9" i="1" s="1"/>
  <c r="O11" i="1" s="1"/>
  <c r="O25" i="1" s="1"/>
  <c r="S13" i="1"/>
  <c r="S10" i="1"/>
  <c r="S5" i="1"/>
  <c r="S18" i="1" s="1"/>
  <c r="N6" i="1"/>
  <c r="J7" i="1"/>
  <c r="J6" i="1"/>
  <c r="AK6" i="1" s="1"/>
  <c r="F7" i="1"/>
  <c r="F6" i="1"/>
  <c r="AJ6" i="1" s="1"/>
  <c r="W13" i="1"/>
  <c r="W10" i="1"/>
  <c r="Z10" i="1" s="1"/>
  <c r="W5" i="1"/>
  <c r="W18" i="1" s="1"/>
  <c r="AA13" i="1"/>
  <c r="AA10" i="1"/>
  <c r="AA5" i="1"/>
  <c r="AA9" i="1" s="1"/>
  <c r="AA19" i="1" s="1"/>
  <c r="V22" i="1" l="1"/>
  <c r="Z22" i="1"/>
  <c r="J22" i="1"/>
  <c r="R20" i="1"/>
  <c r="K9" i="2"/>
  <c r="M6" i="2"/>
  <c r="K14" i="2"/>
  <c r="M11" i="2"/>
  <c r="K6" i="2"/>
  <c r="M9" i="2"/>
  <c r="K4" i="2"/>
  <c r="M14" i="2"/>
  <c r="N15" i="2"/>
  <c r="K11" i="2"/>
  <c r="M8" i="2"/>
  <c r="K13" i="2"/>
  <c r="M10" i="2"/>
  <c r="K5" i="2"/>
  <c r="K15" i="2"/>
  <c r="K10" i="2"/>
  <c r="AD20" i="1"/>
  <c r="Z20" i="1"/>
  <c r="V20" i="1"/>
  <c r="AB21" i="1"/>
  <c r="V21" i="1"/>
  <c r="R10" i="1"/>
  <c r="V10" i="1"/>
  <c r="Q19" i="1"/>
  <c r="R21" i="1"/>
  <c r="R13" i="1"/>
  <c r="S9" i="1"/>
  <c r="S19" i="1" s="1"/>
  <c r="V23" i="1"/>
  <c r="Q18" i="1"/>
  <c r="V13" i="1"/>
  <c r="Z23" i="1"/>
  <c r="P18" i="1"/>
  <c r="AA18" i="1"/>
  <c r="W9" i="1"/>
  <c r="W19" i="1" s="1"/>
  <c r="O18" i="1"/>
  <c r="O19" i="1"/>
  <c r="U18" i="1"/>
  <c r="U19" i="1"/>
  <c r="AC23" i="1"/>
  <c r="AC21" i="1"/>
  <c r="AB23" i="1"/>
  <c r="Z13" i="1"/>
  <c r="Y19" i="1"/>
  <c r="Y11" i="1"/>
  <c r="Y18" i="1"/>
  <c r="Z21" i="1"/>
  <c r="X9" i="1"/>
  <c r="Z5" i="1"/>
  <c r="V5" i="1"/>
  <c r="R5" i="1"/>
  <c r="AN9" i="1"/>
  <c r="Q14" i="1"/>
  <c r="U14" i="1"/>
  <c r="P11" i="1"/>
  <c r="T5" i="1"/>
  <c r="O14" i="1"/>
  <c r="AA11" i="1"/>
  <c r="N12" i="1"/>
  <c r="N8" i="1"/>
  <c r="N4" i="1"/>
  <c r="N3" i="1"/>
  <c r="N20" i="1" s="1"/>
  <c r="AL13" i="1"/>
  <c r="AL10" i="1"/>
  <c r="N10" i="1" s="1"/>
  <c r="AM28" i="1"/>
  <c r="AV43" i="1"/>
  <c r="AU43" i="1"/>
  <c r="AT43" i="1"/>
  <c r="AS43" i="1"/>
  <c r="AR43" i="1"/>
  <c r="AQ43" i="1"/>
  <c r="AP43" i="1"/>
  <c r="AO43" i="1"/>
  <c r="AN43" i="1"/>
  <c r="AM43" i="1"/>
  <c r="AL43" i="1"/>
  <c r="AV36" i="1"/>
  <c r="AV45" i="1" s="1"/>
  <c r="AU36" i="1"/>
  <c r="AU45" i="1" s="1"/>
  <c r="AT36" i="1"/>
  <c r="AT45" i="1" s="1"/>
  <c r="AS36" i="1"/>
  <c r="AS45" i="1" s="1"/>
  <c r="AR36" i="1"/>
  <c r="AR45" i="1" s="1"/>
  <c r="AQ36" i="1"/>
  <c r="AQ45" i="1" s="1"/>
  <c r="AP36" i="1"/>
  <c r="AP45" i="1" s="1"/>
  <c r="AO36" i="1"/>
  <c r="AO45" i="1" s="1"/>
  <c r="AN36" i="1"/>
  <c r="AN45" i="1" s="1"/>
  <c r="AM36" i="1"/>
  <c r="AM45" i="1" s="1"/>
  <c r="AL36" i="1"/>
  <c r="AV33" i="1"/>
  <c r="AV42" i="1" s="1"/>
  <c r="AU33" i="1"/>
  <c r="AU42" i="1" s="1"/>
  <c r="AT33" i="1"/>
  <c r="AT42" i="1" s="1"/>
  <c r="AS33" i="1"/>
  <c r="AS42" i="1" s="1"/>
  <c r="AR33" i="1"/>
  <c r="AR42" i="1" s="1"/>
  <c r="AQ33" i="1"/>
  <c r="AQ42" i="1" s="1"/>
  <c r="AP33" i="1"/>
  <c r="AP42" i="1" s="1"/>
  <c r="AO33" i="1"/>
  <c r="AO42" i="1" s="1"/>
  <c r="AN33" i="1"/>
  <c r="AN42" i="1" s="1"/>
  <c r="AM33" i="1"/>
  <c r="AM42" i="1" s="1"/>
  <c r="AL33" i="1"/>
  <c r="AV35" i="1"/>
  <c r="AV44" i="1" s="1"/>
  <c r="AU35" i="1"/>
  <c r="AU44" i="1" s="1"/>
  <c r="AT35" i="1"/>
  <c r="AT44" i="1" s="1"/>
  <c r="AS35" i="1"/>
  <c r="AS44" i="1" s="1"/>
  <c r="AR35" i="1"/>
  <c r="AR44" i="1" s="1"/>
  <c r="AQ35" i="1"/>
  <c r="AQ44" i="1" s="1"/>
  <c r="AP35" i="1"/>
  <c r="AP44" i="1" s="1"/>
  <c r="AO35" i="1"/>
  <c r="AO44" i="1" s="1"/>
  <c r="AN35" i="1"/>
  <c r="AN44" i="1" s="1"/>
  <c r="AM35" i="1"/>
  <c r="AM44" i="1" s="1"/>
  <c r="AL35" i="1"/>
  <c r="AV32" i="1"/>
  <c r="AU32" i="1"/>
  <c r="AT32" i="1"/>
  <c r="AS32" i="1"/>
  <c r="AR32" i="1"/>
  <c r="AQ32" i="1"/>
  <c r="AP32" i="1"/>
  <c r="AO32" i="1"/>
  <c r="AN32" i="1"/>
  <c r="AM32" i="1"/>
  <c r="AL32" i="1"/>
  <c r="AL41" i="1" s="1"/>
  <c r="AQ13" i="1" l="1"/>
  <c r="AP20" i="1"/>
  <c r="AR3" i="1"/>
  <c r="AP22" i="1"/>
  <c r="AD22" i="1"/>
  <c r="AQ6" i="1"/>
  <c r="AC9" i="1"/>
  <c r="AB9" i="1"/>
  <c r="S11" i="1"/>
  <c r="S14" i="1" s="1"/>
  <c r="AB18" i="1"/>
  <c r="AC18" i="1"/>
  <c r="Q16" i="1"/>
  <c r="Q24" i="1"/>
  <c r="AA14" i="1"/>
  <c r="AA25" i="1"/>
  <c r="W11" i="1"/>
  <c r="W25" i="1" s="1"/>
  <c r="R9" i="1"/>
  <c r="R18" i="1"/>
  <c r="AD5" i="1"/>
  <c r="AD9" i="1" s="1"/>
  <c r="AD11" i="1" s="1"/>
  <c r="V9" i="1"/>
  <c r="V18" i="1"/>
  <c r="O16" i="1"/>
  <c r="O24" i="1"/>
  <c r="R23" i="1"/>
  <c r="N5" i="1"/>
  <c r="T9" i="1"/>
  <c r="T18" i="1"/>
  <c r="P14" i="1"/>
  <c r="P25" i="1"/>
  <c r="U16" i="1"/>
  <c r="U24" i="1"/>
  <c r="AD23" i="1"/>
  <c r="AD21" i="1"/>
  <c r="Y25" i="1"/>
  <c r="Y14" i="1"/>
  <c r="Z9" i="1"/>
  <c r="Z18" i="1"/>
  <c r="X19" i="1"/>
  <c r="X11" i="1"/>
  <c r="AM41" i="1"/>
  <c r="AR6" i="1" l="1"/>
  <c r="AR5" i="1"/>
  <c r="AR22" i="1"/>
  <c r="AR13" i="1"/>
  <c r="AS3" i="1"/>
  <c r="AS5" i="1" s="1"/>
  <c r="AD19" i="1"/>
  <c r="AQ22" i="1"/>
  <c r="AD25" i="1"/>
  <c r="AC11" i="1"/>
  <c r="AC19" i="1"/>
  <c r="AB11" i="1"/>
  <c r="AB19" i="1"/>
  <c r="S25" i="1"/>
  <c r="W14" i="1"/>
  <c r="W24" i="1" s="1"/>
  <c r="T11" i="1"/>
  <c r="T19" i="1"/>
  <c r="AP5" i="1"/>
  <c r="AD18" i="1"/>
  <c r="V11" i="1"/>
  <c r="V19" i="1"/>
  <c r="R11" i="1"/>
  <c r="R19" i="1"/>
  <c r="P16" i="1"/>
  <c r="P24" i="1"/>
  <c r="S16" i="1"/>
  <c r="S24" i="1"/>
  <c r="AA16" i="1"/>
  <c r="AA24" i="1"/>
  <c r="Y16" i="1"/>
  <c r="Y24" i="1"/>
  <c r="X14" i="1"/>
  <c r="X25" i="1"/>
  <c r="Z11" i="1"/>
  <c r="Z19" i="1"/>
  <c r="M13" i="1"/>
  <c r="M5" i="1"/>
  <c r="M9" i="1" s="1"/>
  <c r="AS22" i="1" l="1"/>
  <c r="AS13" i="1"/>
  <c r="AS6" i="1"/>
  <c r="AT5" i="1"/>
  <c r="AD14" i="1"/>
  <c r="AC25" i="1"/>
  <c r="W16" i="1"/>
  <c r="T14" i="1"/>
  <c r="T25" i="1"/>
  <c r="V14" i="1"/>
  <c r="V25" i="1"/>
  <c r="R14" i="1"/>
  <c r="R25" i="1"/>
  <c r="Z14" i="1"/>
  <c r="Z25" i="1"/>
  <c r="X16" i="1"/>
  <c r="X24" i="1"/>
  <c r="AN28" i="1"/>
  <c r="AU30" i="1"/>
  <c r="AT30" i="1"/>
  <c r="AS30" i="1"/>
  <c r="AR30" i="1"/>
  <c r="AQ30" i="1"/>
  <c r="AP30" i="1"/>
  <c r="AO30" i="1"/>
  <c r="AN30" i="1"/>
  <c r="AM30" i="1"/>
  <c r="AL30" i="1"/>
  <c r="AL39" i="1" s="1"/>
  <c r="AT22" i="1" l="1"/>
  <c r="AT6" i="1"/>
  <c r="AU5" i="1"/>
  <c r="AT13" i="1"/>
  <c r="AD16" i="1"/>
  <c r="AD24" i="1"/>
  <c r="AC14" i="1"/>
  <c r="AB25" i="1"/>
  <c r="AB14" i="1"/>
  <c r="R16" i="1"/>
  <c r="R24" i="1"/>
  <c r="T16" i="1"/>
  <c r="T24" i="1"/>
  <c r="V16" i="1"/>
  <c r="V24" i="1"/>
  <c r="Z16" i="1"/>
  <c r="Z24" i="1"/>
  <c r="AM39" i="1"/>
  <c r="AO28" i="1"/>
  <c r="AN41" i="1"/>
  <c r="AN39" i="1"/>
  <c r="AL45" i="1"/>
  <c r="AL44" i="1"/>
  <c r="AL42" i="1"/>
  <c r="AU22" i="1" l="1"/>
  <c r="AV5" i="1"/>
  <c r="AU13" i="1"/>
  <c r="AU6" i="1"/>
  <c r="AC16" i="1"/>
  <c r="AC24" i="1"/>
  <c r="AB16" i="1"/>
  <c r="AB24" i="1"/>
  <c r="AP28" i="1"/>
  <c r="AO41" i="1"/>
  <c r="AO39" i="1"/>
  <c r="F3" i="2"/>
  <c r="AV22" i="1" l="1"/>
  <c r="AW5" i="1"/>
  <c r="AV6" i="1"/>
  <c r="AV13" i="1"/>
  <c r="AQ28" i="1"/>
  <c r="AP41" i="1"/>
  <c r="AP39" i="1"/>
  <c r="AW22" i="1" l="1"/>
  <c r="AX5" i="1"/>
  <c r="AW6" i="1"/>
  <c r="AW20" i="1" s="1"/>
  <c r="AW23" i="1"/>
  <c r="AW13" i="1"/>
  <c r="AR28" i="1"/>
  <c r="AQ41" i="1"/>
  <c r="AQ39" i="1"/>
  <c r="BD27" i="1"/>
  <c r="M23" i="1"/>
  <c r="L23" i="1"/>
  <c r="K23" i="1"/>
  <c r="I23" i="1"/>
  <c r="H23" i="1"/>
  <c r="G23" i="1"/>
  <c r="F12" i="1"/>
  <c r="AJ12" i="1" s="1"/>
  <c r="F10" i="1"/>
  <c r="AJ10" i="1" s="1"/>
  <c r="F8" i="1"/>
  <c r="AJ8" i="1" s="1"/>
  <c r="F4" i="1"/>
  <c r="AJ4" i="1" s="1"/>
  <c r="F3" i="1"/>
  <c r="J12" i="1"/>
  <c r="AK12" i="1" s="1"/>
  <c r="J10" i="1"/>
  <c r="AK10" i="1" s="1"/>
  <c r="J8" i="1"/>
  <c r="AK8" i="1" s="1"/>
  <c r="J4" i="1"/>
  <c r="AK4" i="1" s="1"/>
  <c r="J3" i="1"/>
  <c r="J20" i="1" s="1"/>
  <c r="C21" i="1"/>
  <c r="C5" i="1"/>
  <c r="C9" i="1" s="1"/>
  <c r="D13" i="1"/>
  <c r="D21" i="1"/>
  <c r="D5" i="1"/>
  <c r="D9" i="1" s="1"/>
  <c r="E13" i="1"/>
  <c r="E21" i="1"/>
  <c r="E5" i="1"/>
  <c r="E9" i="1" s="1"/>
  <c r="I13" i="1"/>
  <c r="I5" i="1"/>
  <c r="I9" i="1" s="1"/>
  <c r="G13" i="1"/>
  <c r="G5" i="1"/>
  <c r="K13" i="1"/>
  <c r="AQ10" i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K5" i="1"/>
  <c r="H13" i="1"/>
  <c r="H5" i="1"/>
  <c r="H9" i="1" s="1"/>
  <c r="D8" i="2"/>
  <c r="BD24" i="1" s="1"/>
  <c r="D5" i="2"/>
  <c r="L13" i="1"/>
  <c r="L5" i="1"/>
  <c r="L9" i="1" s="1"/>
  <c r="AX22" i="1" l="1"/>
  <c r="AX13" i="1"/>
  <c r="AX23" i="1"/>
  <c r="AY5" i="1"/>
  <c r="AX6" i="1"/>
  <c r="AX20" i="1" s="1"/>
  <c r="AW18" i="1"/>
  <c r="AW4" i="1"/>
  <c r="AJ3" i="1"/>
  <c r="AJ20" i="1" s="1"/>
  <c r="F20" i="1"/>
  <c r="G18" i="1"/>
  <c r="G9" i="1"/>
  <c r="K18" i="1"/>
  <c r="K9" i="1"/>
  <c r="N13" i="1"/>
  <c r="C11" i="1"/>
  <c r="N7" i="1"/>
  <c r="K21" i="1"/>
  <c r="L21" i="1"/>
  <c r="I21" i="1"/>
  <c r="H21" i="1"/>
  <c r="G21" i="1"/>
  <c r="AS28" i="1"/>
  <c r="AR41" i="1"/>
  <c r="AR39" i="1"/>
  <c r="J5" i="1"/>
  <c r="J18" i="1" s="1"/>
  <c r="F13" i="1"/>
  <c r="AJ13" i="1" s="1"/>
  <c r="AK3" i="1"/>
  <c r="E18" i="1"/>
  <c r="D18" i="1"/>
  <c r="J23" i="1"/>
  <c r="J13" i="1"/>
  <c r="AK13" i="1" s="1"/>
  <c r="L18" i="1"/>
  <c r="H18" i="1"/>
  <c r="I18" i="1"/>
  <c r="C18" i="1"/>
  <c r="D9" i="2"/>
  <c r="F5" i="1"/>
  <c r="AY22" i="1" l="1"/>
  <c r="AY13" i="1"/>
  <c r="AY6" i="1"/>
  <c r="AY20" i="1" s="1"/>
  <c r="AY23" i="1"/>
  <c r="AY18" i="1"/>
  <c r="AZ5" i="1"/>
  <c r="AX4" i="1"/>
  <c r="AX18" i="1"/>
  <c r="N9" i="1"/>
  <c r="N22" i="1"/>
  <c r="R22" i="1"/>
  <c r="AJ5" i="1"/>
  <c r="AJ18" i="1" s="1"/>
  <c r="AK5" i="1"/>
  <c r="AK18" i="1" s="1"/>
  <c r="AK20" i="1"/>
  <c r="J9" i="1"/>
  <c r="AJ7" i="1"/>
  <c r="AJ21" i="1" s="1"/>
  <c r="F9" i="1"/>
  <c r="C14" i="1"/>
  <c r="C24" i="1" s="1"/>
  <c r="C25" i="1"/>
  <c r="C19" i="1"/>
  <c r="I11" i="1"/>
  <c r="I14" i="1" s="1"/>
  <c r="I19" i="1"/>
  <c r="K11" i="1"/>
  <c r="K14" i="1" s="1"/>
  <c r="K19" i="1"/>
  <c r="L11" i="1"/>
  <c r="L19" i="1"/>
  <c r="G11" i="1"/>
  <c r="G14" i="1" s="1"/>
  <c r="G19" i="1"/>
  <c r="E11" i="1"/>
  <c r="E19" i="1"/>
  <c r="D11" i="1"/>
  <c r="D19" i="1"/>
  <c r="AK7" i="1"/>
  <c r="H11" i="1"/>
  <c r="H14" i="1" s="1"/>
  <c r="H19" i="1"/>
  <c r="AT28" i="1"/>
  <c r="AS41" i="1"/>
  <c r="AS39" i="1"/>
  <c r="AK23" i="1"/>
  <c r="F18" i="1"/>
  <c r="F21" i="1"/>
  <c r="M18" i="1"/>
  <c r="J21" i="1"/>
  <c r="M21" i="1"/>
  <c r="N23" i="1"/>
  <c r="AZ22" i="1" l="1"/>
  <c r="BA5" i="1"/>
  <c r="AZ13" i="1"/>
  <c r="AZ6" i="1"/>
  <c r="AZ20" i="1" s="1"/>
  <c r="AZ18" i="1"/>
  <c r="AZ23" i="1"/>
  <c r="AZ4" i="1"/>
  <c r="AY4" i="1"/>
  <c r="AK9" i="1"/>
  <c r="AK22" i="1"/>
  <c r="AL22" i="1"/>
  <c r="AJ9" i="1"/>
  <c r="AJ11" i="1" s="1"/>
  <c r="AJ14" i="1" s="1"/>
  <c r="AJ24" i="1" s="1"/>
  <c r="AQ20" i="1"/>
  <c r="K25" i="1"/>
  <c r="C16" i="1"/>
  <c r="I25" i="1"/>
  <c r="K16" i="1"/>
  <c r="K24" i="1"/>
  <c r="I16" i="1"/>
  <c r="I24" i="1"/>
  <c r="H16" i="1"/>
  <c r="H24" i="1"/>
  <c r="G16" i="1"/>
  <c r="G24" i="1"/>
  <c r="J11" i="1"/>
  <c r="J14" i="1" s="1"/>
  <c r="J19" i="1"/>
  <c r="M11" i="1"/>
  <c r="M14" i="1" s="1"/>
  <c r="M19" i="1"/>
  <c r="G25" i="1"/>
  <c r="H25" i="1"/>
  <c r="D25" i="1"/>
  <c r="D14" i="1"/>
  <c r="L25" i="1"/>
  <c r="L14" i="1"/>
  <c r="N21" i="1"/>
  <c r="AK21" i="1"/>
  <c r="F11" i="1"/>
  <c r="F14" i="1" s="1"/>
  <c r="F19" i="1"/>
  <c r="E25" i="1"/>
  <c r="E14" i="1"/>
  <c r="AU28" i="1"/>
  <c r="AT41" i="1"/>
  <c r="AT39" i="1"/>
  <c r="AL21" i="1"/>
  <c r="AL31" i="1"/>
  <c r="AL40" i="1" s="1"/>
  <c r="AM31" i="1"/>
  <c r="AL5" i="1"/>
  <c r="AL9" i="1" s="1"/>
  <c r="AL23" i="1"/>
  <c r="N18" i="1"/>
  <c r="BA22" i="1" l="1"/>
  <c r="BA13" i="1"/>
  <c r="BA23" i="1"/>
  <c r="BA6" i="1"/>
  <c r="BA20" i="1" s="1"/>
  <c r="AJ19" i="1"/>
  <c r="AR20" i="1"/>
  <c r="AJ25" i="1"/>
  <c r="F25" i="1"/>
  <c r="J25" i="1"/>
  <c r="M16" i="1"/>
  <c r="M24" i="1"/>
  <c r="F16" i="1"/>
  <c r="F24" i="1"/>
  <c r="L16" i="1"/>
  <c r="L24" i="1"/>
  <c r="E16" i="1"/>
  <c r="E24" i="1"/>
  <c r="D16" i="1"/>
  <c r="D24" i="1"/>
  <c r="J16" i="1"/>
  <c r="J24" i="1"/>
  <c r="AM40" i="1"/>
  <c r="AM46" i="1" s="1"/>
  <c r="AM37" i="1"/>
  <c r="AK11" i="1"/>
  <c r="AK19" i="1"/>
  <c r="AV28" i="1"/>
  <c r="AV41" i="1" s="1"/>
  <c r="AU41" i="1"/>
  <c r="AU39" i="1"/>
  <c r="N11" i="1"/>
  <c r="N25" i="1" s="1"/>
  <c r="N19" i="1"/>
  <c r="AL46" i="1"/>
  <c r="AL37" i="1"/>
  <c r="AL18" i="1"/>
  <c r="AM23" i="1"/>
  <c r="AJ16" i="1"/>
  <c r="M25" i="1"/>
  <c r="BA4" i="1" l="1"/>
  <c r="BA18" i="1"/>
  <c r="AK14" i="1"/>
  <c r="AK25" i="1"/>
  <c r="AL11" i="1"/>
  <c r="AL19" i="1"/>
  <c r="AN31" i="1"/>
  <c r="AN23" i="1"/>
  <c r="AM21" i="1"/>
  <c r="N14" i="1"/>
  <c r="AS20" i="1" l="1"/>
  <c r="N16" i="1"/>
  <c r="N24" i="1"/>
  <c r="AK16" i="1"/>
  <c r="AK24" i="1"/>
  <c r="AN40" i="1"/>
  <c r="AN46" i="1" s="1"/>
  <c r="AN37" i="1"/>
  <c r="AL14" i="1"/>
  <c r="AO31" i="1"/>
  <c r="AL25" i="1"/>
  <c r="AN18" i="1"/>
  <c r="AO23" i="1"/>
  <c r="AN21" i="1"/>
  <c r="AL16" i="1" l="1"/>
  <c r="AL24" i="1"/>
  <c r="AO40" i="1"/>
  <c r="AO46" i="1" s="1"/>
  <c r="AO37" i="1"/>
  <c r="AP31" i="1"/>
  <c r="AP9" i="1"/>
  <c r="AN19" i="1"/>
  <c r="AO21" i="1"/>
  <c r="AP23" i="1"/>
  <c r="AT20" i="1"/>
  <c r="AU20" i="1" l="1"/>
  <c r="AP40" i="1"/>
  <c r="AP46" i="1" s="1"/>
  <c r="AP37" i="1"/>
  <c r="AN11" i="1"/>
  <c r="AN25" i="1" s="1"/>
  <c r="AQ31" i="1"/>
  <c r="AP21" i="1"/>
  <c r="AQ23" i="1"/>
  <c r="AP18" i="1"/>
  <c r="AQ4" i="1" l="1"/>
  <c r="AQ9" i="1"/>
  <c r="AQ40" i="1"/>
  <c r="AQ46" i="1" s="1"/>
  <c r="AQ37" i="1"/>
  <c r="AN14" i="1"/>
  <c r="AN24" i="1" s="1"/>
  <c r="AR31" i="1"/>
  <c r="AP19" i="1"/>
  <c r="AR23" i="1"/>
  <c r="AR21" i="1"/>
  <c r="AQ21" i="1"/>
  <c r="AQ18" i="1"/>
  <c r="AV20" i="1" l="1"/>
  <c r="AR4" i="1"/>
  <c r="AR9" i="1"/>
  <c r="AR40" i="1"/>
  <c r="AR46" i="1" s="1"/>
  <c r="AR37" i="1"/>
  <c r="AN16" i="1"/>
  <c r="AS31" i="1"/>
  <c r="AQ19" i="1"/>
  <c r="AS23" i="1"/>
  <c r="AR18" i="1"/>
  <c r="AW21" i="1" l="1"/>
  <c r="AW9" i="1"/>
  <c r="AS4" i="1"/>
  <c r="AS9" i="1"/>
  <c r="AS40" i="1"/>
  <c r="AS46" i="1" s="1"/>
  <c r="AS37" i="1"/>
  <c r="AT31" i="1"/>
  <c r="AR19" i="1"/>
  <c r="AT23" i="1"/>
  <c r="AS21" i="1"/>
  <c r="AS18" i="1"/>
  <c r="AW19" i="1" l="1"/>
  <c r="AW11" i="1"/>
  <c r="AX21" i="1"/>
  <c r="AX9" i="1"/>
  <c r="AT4" i="1"/>
  <c r="AT9" i="1"/>
  <c r="AT40" i="1"/>
  <c r="AT46" i="1" s="1"/>
  <c r="AT37" i="1"/>
  <c r="AU31" i="1"/>
  <c r="AS19" i="1"/>
  <c r="AT21" i="1"/>
  <c r="AU23" i="1"/>
  <c r="AT18" i="1"/>
  <c r="AY21" i="1" l="1"/>
  <c r="AY9" i="1"/>
  <c r="AX11" i="1"/>
  <c r="AX19" i="1"/>
  <c r="AW12" i="1"/>
  <c r="AW25" i="1" s="1"/>
  <c r="AU4" i="1"/>
  <c r="AU9" i="1"/>
  <c r="AU40" i="1"/>
  <c r="AU46" i="1" s="1"/>
  <c r="AU37" i="1"/>
  <c r="AV31" i="1"/>
  <c r="AV40" i="1" s="1"/>
  <c r="AT19" i="1"/>
  <c r="AU21" i="1"/>
  <c r="AV23" i="1"/>
  <c r="AV21" i="1"/>
  <c r="AU18" i="1"/>
  <c r="AW14" i="1" l="1"/>
  <c r="AW16" i="1" s="1"/>
  <c r="AY11" i="1"/>
  <c r="AY19" i="1"/>
  <c r="AZ21" i="1"/>
  <c r="AZ9" i="1"/>
  <c r="AX12" i="1"/>
  <c r="AX25" i="1" s="1"/>
  <c r="AV4" i="1"/>
  <c r="AV9" i="1"/>
  <c r="AU19" i="1"/>
  <c r="AV18" i="1"/>
  <c r="AW24" i="1" l="1"/>
  <c r="AX14" i="1"/>
  <c r="AX16" i="1" s="1"/>
  <c r="BA21" i="1"/>
  <c r="BA9" i="1"/>
  <c r="AY12" i="1"/>
  <c r="AY25" i="1" s="1"/>
  <c r="AZ11" i="1"/>
  <c r="AZ19" i="1"/>
  <c r="AP11" i="1"/>
  <c r="AV19" i="1"/>
  <c r="AX24" i="1" l="1"/>
  <c r="AY14" i="1"/>
  <c r="AY16" i="1" s="1"/>
  <c r="AZ12" i="1"/>
  <c r="AZ25" i="1" s="1"/>
  <c r="BA11" i="1"/>
  <c r="BA19" i="1"/>
  <c r="AP25" i="1"/>
  <c r="AY24" i="1" l="1"/>
  <c r="BA12" i="1"/>
  <c r="BA25" i="1" s="1"/>
  <c r="AZ14" i="1"/>
  <c r="AP14" i="1"/>
  <c r="AZ16" i="1" l="1"/>
  <c r="AZ24" i="1"/>
  <c r="BA14" i="1"/>
  <c r="AP16" i="1"/>
  <c r="AP24" i="1"/>
  <c r="AQ11" i="1"/>
  <c r="BB14" i="1" l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BA24" i="1"/>
  <c r="BA16" i="1"/>
  <c r="AQ12" i="1"/>
  <c r="AQ25" i="1" s="1"/>
  <c r="AQ14" i="1" l="1"/>
  <c r="AQ16" i="1" l="1"/>
  <c r="AQ24" i="1"/>
  <c r="AR11" i="1"/>
  <c r="AR12" i="1" l="1"/>
  <c r="AR25" i="1" s="1"/>
  <c r="AR14" i="1" l="1"/>
  <c r="AR16" i="1" l="1"/>
  <c r="AR24" i="1"/>
  <c r="AS11" i="1"/>
  <c r="AS12" i="1" l="1"/>
  <c r="AS25" i="1" s="1"/>
  <c r="AS14" i="1" l="1"/>
  <c r="AS16" i="1" l="1"/>
  <c r="AS24" i="1"/>
  <c r="AT11" i="1"/>
  <c r="AT12" i="1" l="1"/>
  <c r="AT25" i="1" s="1"/>
  <c r="AT14" i="1" l="1"/>
  <c r="AT16" i="1" l="1"/>
  <c r="AT24" i="1"/>
  <c r="AU11" i="1"/>
  <c r="AU12" i="1" l="1"/>
  <c r="AU25" i="1" s="1"/>
  <c r="AU14" i="1" l="1"/>
  <c r="AU24" i="1" s="1"/>
  <c r="AU16" i="1" l="1"/>
  <c r="AV11" i="1"/>
  <c r="AV12" i="1" l="1"/>
  <c r="AV25" i="1" s="1"/>
  <c r="AV14" i="1" l="1"/>
  <c r="BD23" i="1" s="1"/>
  <c r="AV16" i="1" l="1"/>
  <c r="AV24" i="1"/>
  <c r="BD25" i="1"/>
  <c r="BD26" i="1" l="1"/>
  <c r="BD28" i="1" s="1"/>
  <c r="AM5" i="1" l="1"/>
  <c r="AM18" i="1" l="1"/>
  <c r="AM9" i="1"/>
  <c r="AM11" i="1"/>
  <c r="AM19" i="1"/>
  <c r="AM25" i="1" l="1"/>
  <c r="AM14" i="1" l="1"/>
  <c r="AM24" i="1" l="1"/>
  <c r="AM16" i="1"/>
  <c r="AO5" i="1"/>
  <c r="AO18" i="1" s="1"/>
  <c r="AO9" i="1" l="1"/>
  <c r="AO19" i="1" l="1"/>
  <c r="AO11" i="1"/>
  <c r="AO25" i="1" l="1"/>
  <c r="AO14" i="1" l="1"/>
  <c r="AO16" i="1" l="1"/>
  <c r="AO24" i="1"/>
</calcChain>
</file>

<file path=xl/sharedStrings.xml><?xml version="1.0" encoding="utf-8"?>
<sst xmlns="http://schemas.openxmlformats.org/spreadsheetml/2006/main" count="114" uniqueCount="108">
  <si>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</si>
  <si>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</si>
  <si>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</si>
  <si>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</si>
  <si>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</si>
  <si>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</si>
  <si>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</si>
  <si>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</si>
  <si>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</si>
  <si>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</si>
  <si>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</si>
  <si>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</si>
  <si>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</si>
  <si>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Cost of sales</t>
  </si>
  <si>
    <t>Gross profit</t>
  </si>
  <si>
    <t>Other operating expense</t>
  </si>
  <si>
    <t>Operating profit</t>
  </si>
  <si>
    <t>Net financial expense</t>
  </si>
  <si>
    <t>Pretax income</t>
  </si>
  <si>
    <t>Taxes</t>
  </si>
  <si>
    <t>Net profit</t>
  </si>
  <si>
    <t>Shares</t>
  </si>
  <si>
    <t>EPS</t>
  </si>
  <si>
    <t>VOW</t>
  </si>
  <si>
    <t>Price</t>
  </si>
  <si>
    <t>MC</t>
  </si>
  <si>
    <t>Cash</t>
  </si>
  <si>
    <t>Debt</t>
  </si>
  <si>
    <t>EV</t>
  </si>
  <si>
    <t>Minority interest</t>
  </si>
  <si>
    <t>Gross Margin</t>
  </si>
  <si>
    <t>Operating Margin</t>
  </si>
  <si>
    <t>Revenue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</si>
  <si>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</si>
  <si>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</si>
  <si>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</si>
  <si>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</si>
  <si>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</si>
  <si>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</si>
  <si>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</si>
  <si>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</si>
  <si>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Segment</t>
  </si>
  <si>
    <t>VW Passenger Cars</t>
  </si>
  <si>
    <t>Audi</t>
  </si>
  <si>
    <t>Skoda</t>
  </si>
  <si>
    <t>SEAT</t>
  </si>
  <si>
    <t>Bentley</t>
  </si>
  <si>
    <t>Porsche</t>
  </si>
  <si>
    <t>VW Commercial Vehicles</t>
  </si>
  <si>
    <t>Scania</t>
  </si>
  <si>
    <t>MAN</t>
  </si>
  <si>
    <t>VW Financial Services</t>
  </si>
  <si>
    <t>Power Engineering</t>
  </si>
  <si>
    <t>Total</t>
  </si>
  <si>
    <t>2019 Revenue</t>
  </si>
  <si>
    <t>2018 Revenue</t>
  </si>
  <si>
    <t>2019 % of total</t>
  </si>
  <si>
    <t>2018 % of total</t>
  </si>
  <si>
    <t>Net Cash</t>
  </si>
  <si>
    <t>Last time checked</t>
  </si>
  <si>
    <t>Today</t>
  </si>
  <si>
    <t>Global Automotive Revenue</t>
  </si>
  <si>
    <t>VW Revenue</t>
  </si>
  <si>
    <t>Toyota Revenue</t>
  </si>
  <si>
    <t>Toyota Share</t>
  </si>
  <si>
    <t>VW Share</t>
  </si>
  <si>
    <t>Total Modelled Share</t>
  </si>
  <si>
    <t>Fiat Revenue</t>
  </si>
  <si>
    <t>Mercedes Revenue</t>
  </si>
  <si>
    <t>Ford Revenue</t>
  </si>
  <si>
    <t>BMW Revenue</t>
  </si>
  <si>
    <t>Mercedes Share</t>
  </si>
  <si>
    <t>Ford Share</t>
  </si>
  <si>
    <t>Fiat Share</t>
  </si>
  <si>
    <t>BMW Share</t>
  </si>
  <si>
    <t>Total Modelled Revenue</t>
  </si>
  <si>
    <t>Earnings</t>
  </si>
  <si>
    <t>Consensus</t>
  </si>
  <si>
    <t>me likey</t>
  </si>
  <si>
    <t>GM Revenue</t>
  </si>
  <si>
    <t>GM Share</t>
  </si>
  <si>
    <t>Net Margin</t>
  </si>
  <si>
    <t>Q124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</si>
  <si>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</si>
  <si>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</si>
  <si>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</si>
  <si>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</si>
  <si>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</si>
  <si>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</si>
  <si>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</si>
  <si>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</si>
  <si>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</si>
  <si>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</si>
  <si>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</si>
  <si>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</si>
  <si>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</si>
  <si>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Q324</t>
  </si>
  <si>
    <t>Q424</t>
  </si>
  <si>
    <t>Distribution expenses</t>
  </si>
  <si>
    <t>Distribution Margin</t>
  </si>
  <si>
    <t>Admin Margin</t>
  </si>
  <si>
    <t>Administrative expenses</t>
  </si>
  <si>
    <t>Admin y/y</t>
  </si>
  <si>
    <t>Q125</t>
  </si>
  <si>
    <t>Q225</t>
  </si>
  <si>
    <t>Q325</t>
  </si>
  <si>
    <t>Q425</t>
  </si>
  <si>
    <t>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</si>
</sst>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2" fillId="2" borderId="1" xfId="0" applyFont="1" applyFill="1" applyBorder="1"/>
    <xf numFmtId="164" fontId="3" fillId="2" borderId="1" xfId="0" applyNumberFormat="1" applyFont="1" applyFill="1" applyBorder="1"/>
    <xf numFmtId="14" fontId="4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/>
    <xf numFmtId="0" fontId="5" fillId="0" borderId="1" xfId="0" applyFont="1" applyBorder="1"/>
    <xf numFmtId="0" fontId="6" fillId="0" borderId="1" xfId="0" applyFont="1" applyBorder="1"/>
    <xf numFmtId="3" fontId="6" fillId="0" borderId="1" xfId="0" applyNumberFormat="1" applyFont="1" applyBorder="1"/>
    <xf numFmtId="9" fontId="6" fillId="0" borderId="1" xfId="0" applyNumberFormat="1" applyFont="1" applyBorder="1"/>
    <xf numFmtId="0" fontId="7" fillId="0" borderId="1" xfId="0" applyFont="1" applyBorder="1"/>
    <xf numFmtId="0" fontId="3" fillId="2" borderId="1" xfId="0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4" fontId="2" fillId="2" borderId="1" xfId="0" applyNumberFormat="1" applyFont="1" applyFill="1" applyBorder="1"/>
    <xf numFmtId="9" fontId="2" fillId="2" borderId="1" xfId="0" applyNumberFormat="1" applyFont="1" applyFill="1" applyBorder="1"/>
    <xf numFmtId="9" fontId="3" fillId="2" borderId="1" xfId="0" applyNumberFormat="1" applyFont="1" applyFill="1" applyBorder="1"/>
  </cellXfs>
  <cellStyles count="1">
    <cellStyle name="Normal" xfId="0" builtinId="0"/>
  </cellStyles>
  <dxfs count="8"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1" tint="0.249977111117893"/>
        </left>
        <right/>
        <top style="thin">
          <color theme="1" tint="0.249977111117893"/>
        </top>
        <bottom style="thin">
          <color theme="1" tint="0.249977111117893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1" tint="0.249977111117893"/>
        </left>
        <right style="thin">
          <color theme="1" tint="0.24997711111789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30480</xdr:colOff>
      <xdr:row>0</xdr:row>
      <xdr:rowOff>15240</xdr:rowOff>
    </xdr:from>
    <xdr:to>
      <xdr:col>42</xdr:col>
      <xdr:colOff>30480</xdr:colOff>
      <xdr:row>48</xdr:row>
      <xdr:rowOff>167640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2413563-FCC9-E6E6-5E5E-4F564E31B4B5}"/>
            </a:ext>
          </a:extLst>
        </xdr:cNvPr>
        <xdr:cNvCxnSpPr/>
      </xdr:nvCxnSpPr>
      <xdr:spPr>
        <a:xfrm>
          <a:off x="26631900" y="15240"/>
          <a:ext cx="0" cy="8930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7620</xdr:colOff>
      <xdr:row>0</xdr:row>
      <xdr:rowOff>0</xdr:rowOff>
    </xdr:from>
    <xdr:to>
      <xdr:col>30</xdr:col>
      <xdr:colOff>7620</xdr:colOff>
      <xdr:row>35</xdr:row>
      <xdr:rowOff>76200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B797525C-352E-048A-EB90-409AE91AFAD7}"/>
            </a:ext>
          </a:extLst>
        </xdr:cNvPr>
        <xdr:cNvCxnSpPr/>
      </xdr:nvCxnSpPr>
      <xdr:spPr>
        <a:xfrm>
          <a:off x="19293840" y="0"/>
          <a:ext cx="0" cy="647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TM.xlsx" TargetMode="External"/><Relationship Id="rId1" Type="http://schemas.openxmlformats.org/officeDocument/2006/relationships/externalLinkPath" Target="T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DAI.xlsx" TargetMode="External"/><Relationship Id="rId1" Type="http://schemas.openxmlformats.org/officeDocument/2006/relationships/externalLinkPath" Target="DAI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F.xlsx" TargetMode="External"/><Relationship Id="rId1" Type="http://schemas.openxmlformats.org/officeDocument/2006/relationships/externalLinkPath" Target="F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GM.xlsx" TargetMode="External"/><Relationship Id="rId1" Type="http://schemas.openxmlformats.org/officeDocument/2006/relationships/externalLinkPath" Target="G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C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BMW.xlsx" TargetMode="External"/><Relationship Id="rId1" Type="http://schemas.openxmlformats.org/officeDocument/2006/relationships/externalLinkPath" Target="BM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Currency"/>
    </sheetNames>
    <sheetDataSet>
      <sheetData sheetId="0">
        <row r="3">
          <cell r="D3">
            <v>147.97</v>
          </cell>
        </row>
      </sheetData>
      <sheetData sheetId="1">
        <row r="3">
          <cell r="G3">
            <v>43273.686964448658</v>
          </cell>
          <cell r="H3">
            <v>63718.198625087709</v>
          </cell>
          <cell r="I3">
            <v>76656.720601878333</v>
          </cell>
          <cell r="J3">
            <v>75313.301328646703</v>
          </cell>
          <cell r="L3">
            <v>259570.79839651092</v>
          </cell>
          <cell r="M3">
            <v>276334.7296661032</v>
          </cell>
          <cell r="N3">
            <v>284293.55656744691</v>
          </cell>
          <cell r="O3">
            <v>281512.3958237776</v>
          </cell>
          <cell r="P3">
            <v>258961.90752006142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53.31</v>
          </cell>
        </row>
      </sheetData>
      <sheetData sheetId="1">
        <row r="3">
          <cell r="AO3">
            <v>153218</v>
          </cell>
        </row>
        <row r="4">
          <cell r="Q4">
            <v>24933</v>
          </cell>
          <cell r="R4">
            <v>26567</v>
          </cell>
          <cell r="S4">
            <v>26894</v>
          </cell>
          <cell r="T4">
            <v>27938</v>
          </cell>
          <cell r="U4">
            <v>28934</v>
          </cell>
          <cell r="V4">
            <v>32231</v>
          </cell>
          <cell r="W4">
            <v>28066</v>
          </cell>
          <cell r="X4">
            <v>29284</v>
          </cell>
          <cell r="Y4">
            <v>29166</v>
          </cell>
          <cell r="Z4">
            <v>32323</v>
          </cell>
          <cell r="AA4">
            <v>28767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9.77</v>
          </cell>
        </row>
      </sheetData>
      <sheetData sheetId="1">
        <row r="3">
          <cell r="R3">
            <v>37678</v>
          </cell>
          <cell r="S3">
            <v>34476</v>
          </cell>
          <cell r="T3">
            <v>40190</v>
          </cell>
          <cell r="U3">
            <v>39392</v>
          </cell>
          <cell r="V3">
            <v>43999</v>
          </cell>
          <cell r="W3">
            <v>41474</v>
          </cell>
          <cell r="X3">
            <v>44954</v>
          </cell>
          <cell r="Y3">
            <v>43801</v>
          </cell>
          <cell r="Z3">
            <v>45962</v>
          </cell>
          <cell r="AA3">
            <v>42777</v>
          </cell>
          <cell r="AB3">
            <v>47808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/>
      <sheetData sheetId="1">
        <row r="3">
          <cell r="AL3">
            <v>122485</v>
          </cell>
          <cell r="AM3">
            <v>127004</v>
          </cell>
          <cell r="AN3">
            <v>156735</v>
          </cell>
          <cell r="AO3">
            <v>171842</v>
          </cell>
          <cell r="AP3">
            <v>187442</v>
          </cell>
          <cell r="AQ3">
            <v>189316.42</v>
          </cell>
          <cell r="AR3">
            <v>191209.58420000001</v>
          </cell>
          <cell r="AS3">
            <v>193121.68004200002</v>
          </cell>
          <cell r="AT3">
            <v>195052.89684242001</v>
          </cell>
          <cell r="AU3">
            <v>197003.42581084423</v>
          </cell>
          <cell r="AV3">
            <v>198973.46006895267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/>
      <sheetData sheetId="1">
        <row r="3">
          <cell r="F3">
            <v>86549.6</v>
          </cell>
          <cell r="G3">
            <v>103859.52</v>
          </cell>
          <cell r="H3">
            <v>104898.1152</v>
          </cell>
          <cell r="I3">
            <v>105947.09635200001</v>
          </cell>
          <cell r="J3">
            <v>107006.56731552001</v>
          </cell>
          <cell r="K3">
            <v>107006.56731552001</v>
          </cell>
          <cell r="L3">
            <v>107006.56731552001</v>
          </cell>
          <cell r="M3">
            <v>107006.56731552001</v>
          </cell>
          <cell r="N3">
            <v>107006.56731552001</v>
          </cell>
          <cell r="O3">
            <v>107006.56731552001</v>
          </cell>
          <cell r="P3">
            <v>107006.56731552001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73.680000000000007</v>
          </cell>
        </row>
      </sheetData>
      <sheetData sheetId="1">
        <row r="3">
          <cell r="R3">
            <v>28408</v>
          </cell>
          <cell r="S3">
            <v>31142</v>
          </cell>
          <cell r="T3">
            <v>34770</v>
          </cell>
          <cell r="U3">
            <v>37176</v>
          </cell>
          <cell r="V3">
            <v>39522</v>
          </cell>
          <cell r="W3">
            <v>36853</v>
          </cell>
          <cell r="X3">
            <v>37219</v>
          </cell>
          <cell r="Y3">
            <v>38458</v>
          </cell>
          <cell r="Z3">
            <v>42968</v>
          </cell>
          <cell r="AA3">
            <v>36614</v>
          </cell>
          <cell r="AB3">
            <v>36944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EE5E1-D9DB-4082-9947-FBBDFBD43C47}" name="Table1" displayName="Table1" ref="I3:N15" totalsRowShown="0" headerRowDxfId="7" dataDxfId="6">
  <autoFilter ref="I3:N15" xr:uid="{1CFB0175-B769-4BF1-9147-35C5C068DB31}"/>
  <sortState xmlns:xlrd2="http://schemas.microsoft.com/office/spreadsheetml/2017/richdata2" ref="I4:M14">
    <sortCondition descending="1" ref="L3:L14"/>
  </sortState>
  <tableColumns count="6">
    <tableColumn id="1" xr3:uid="{A89DA74B-5588-419D-9069-7561F6170F90}" name="Segment" dataDxfId="5"/>
    <tableColumn id="4" xr3:uid="{66A9AEE1-3394-4ABD-8A02-517728484404}" name="2018 Revenue" dataDxfId="4"/>
    <tableColumn id="5" xr3:uid="{0967840B-6C5B-45ED-BB5A-27BC983C79FE}" name="2018 % of total" dataDxfId="3">
      <calculatedColumnFormula>Table1[[#This Row],[2018 Revenue]]/$L$15</calculatedColumnFormula>
    </tableColumn>
    <tableColumn id="2" xr3:uid="{6E1B27B0-9778-4885-B6DA-DBD650F912A9}" name="2019 Revenue" dataDxfId="2"/>
    <tableColumn id="3" xr3:uid="{95C24A00-FC26-4A0B-8492-15778342D9F3}" name="2019 % of total" dataDxfId="1">
      <calculatedColumnFormula>Table1[[#This Row],[2019 Revenue]]/$L$15</calculatedColumnFormula>
    </tableColumn>
    <tableColumn id="6" xr3:uid="{DC293C35-3FE8-4810-BC6E-21C487BC48C4}" name="Revenue y/y" dataDxfId="0">
      <calculatedColumnFormula>Table1[[#This Row],[2019 Revenue]]/Table1[[#This Row],[2018 Revenue]]-1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8E42-308A-4F1A-8E17-49518F9E2DA0}">
  <dimension ref="B2:N15"/>
  <sheetViews>
    <sheetView workbookViewId="0">
      <selection activeCell="E7" sqref="E7"/>
    </sheetView>
  </sheetViews>
  <sheetFormatPr defaultRowHeight="14.4" x14ac:dyDescent="0.3"/>
  <cols>
    <col min="1" max="4" width="8.88671875" style="1"/>
    <col min="5" max="8" width="15.77734375" style="2" customWidth="1"/>
    <col min="9" max="9" width="21.5546875" style="1" bestFit="1" customWidth="1"/>
    <col min="10" max="10" width="15" style="1" bestFit="1" customWidth="1"/>
    <col min="11" max="11" width="15.77734375" style="1" bestFit="1" customWidth="1"/>
    <col min="12" max="12" width="15" style="1" bestFit="1" customWidth="1"/>
    <col min="13" max="13" width="15.77734375" style="1" bestFit="1" customWidth="1"/>
    <col min="14" max="14" width="13.88671875" style="1" bestFit="1" customWidth="1"/>
    <col min="15" max="16384" width="8.88671875" style="1"/>
  </cols>
  <sheetData>
    <row r="2" spans="2:14" x14ac:dyDescent="0.3">
      <c r="E2" s="2" t="s">
        <v>59</v>
      </c>
      <c r="F2" s="2" t="s">
        <v>60</v>
      </c>
      <c r="G2" s="2" t="s">
        <v>76</v>
      </c>
    </row>
    <row r="3" spans="2:14" x14ac:dyDescent="0.3">
      <c r="B3" s="3" t="s">
        <v>23</v>
      </c>
      <c r="C3" s="1" t="s">
        <v>24</v>
      </c>
      <c r="D3" s="4">
        <v>98.9</v>
      </c>
      <c r="E3" s="5">
        <v>45771</v>
      </c>
      <c r="F3" s="5">
        <f ca="1">TODAY()</f>
        <v>45771</v>
      </c>
      <c r="G3" s="5">
        <v>45777</v>
      </c>
      <c r="H3" s="5"/>
      <c r="I3" s="7" t="s">
        <v>41</v>
      </c>
      <c r="J3" s="8" t="s">
        <v>55</v>
      </c>
      <c r="K3" s="8" t="s">
        <v>57</v>
      </c>
      <c r="L3" s="8" t="s">
        <v>54</v>
      </c>
      <c r="M3" s="8" t="s">
        <v>56</v>
      </c>
      <c r="N3" s="8" t="s">
        <v>32</v>
      </c>
    </row>
    <row r="4" spans="2:14" x14ac:dyDescent="0.3">
      <c r="C4" s="1" t="s">
        <v>21</v>
      </c>
      <c r="D4" s="6">
        <f>295.1+206.2</f>
        <v>501.3</v>
      </c>
      <c r="E4" s="2" t="s">
        <v>97</v>
      </c>
      <c r="I4" s="8" t="s">
        <v>42</v>
      </c>
      <c r="J4" s="9">
        <v>84585</v>
      </c>
      <c r="K4" s="10">
        <f>Table1[[#This Row],[2018 Revenue]]/$L$15</f>
        <v>0.29829139703418966</v>
      </c>
      <c r="L4" s="9">
        <v>88407</v>
      </c>
      <c r="M4" s="10">
        <f>Table1[[#This Row],[2019 Revenue]]/$L$15</f>
        <v>0.31176978823197504</v>
      </c>
      <c r="N4" s="10">
        <f>Table1[[#This Row],[2019 Revenue]]/Table1[[#This Row],[2018 Revenue]]-1</f>
        <v>4.5185316545486742E-2</v>
      </c>
    </row>
    <row r="5" spans="2:14" x14ac:dyDescent="0.3">
      <c r="C5" s="1" t="s">
        <v>25</v>
      </c>
      <c r="D5" s="6">
        <f>D4*D3</f>
        <v>49578.570000000007</v>
      </c>
      <c r="I5" s="8" t="s">
        <v>43</v>
      </c>
      <c r="J5" s="9">
        <v>59248</v>
      </c>
      <c r="K5" s="10">
        <f>Table1[[#This Row],[2018 Revenue]]/$L$15</f>
        <v>0.20893974926383721</v>
      </c>
      <c r="L5" s="9">
        <v>55680</v>
      </c>
      <c r="M5" s="10">
        <f>Table1[[#This Row],[2019 Revenue]]/$L$15</f>
        <v>0.1963570962565902</v>
      </c>
      <c r="N5" s="10">
        <f>Table1[[#This Row],[2019 Revenue]]/Table1[[#This Row],[2018 Revenue]]-1</f>
        <v>-6.0221442073994047E-2</v>
      </c>
    </row>
    <row r="6" spans="2:14" x14ac:dyDescent="0.3">
      <c r="C6" s="1" t="s">
        <v>26</v>
      </c>
      <c r="D6" s="6">
        <f>40296+27326</f>
        <v>67622</v>
      </c>
      <c r="E6" s="2" t="s">
        <v>97</v>
      </c>
      <c r="I6" s="8" t="s">
        <v>51</v>
      </c>
      <c r="J6" s="9">
        <v>32764</v>
      </c>
      <c r="K6" s="10">
        <f>Table1[[#This Row],[2018 Revenue]]/$L$15</f>
        <v>0.11554317352282545</v>
      </c>
      <c r="L6" s="9">
        <v>37957</v>
      </c>
      <c r="M6" s="10">
        <f>Table1[[#This Row],[2019 Revenue]]/$L$15</f>
        <v>0.13385643503253222</v>
      </c>
      <c r="N6" s="10">
        <f>Table1[[#This Row],[2019 Revenue]]/Table1[[#This Row],[2018 Revenue]]-1</f>
        <v>0.15849713099743612</v>
      </c>
    </row>
    <row r="7" spans="2:14" x14ac:dyDescent="0.3">
      <c r="C7" s="1" t="s">
        <v>27</v>
      </c>
      <c r="D7" s="6">
        <f>117020+137061</f>
        <v>254081</v>
      </c>
      <c r="E7" s="2" t="s">
        <v>97</v>
      </c>
      <c r="I7" s="8" t="s">
        <v>47</v>
      </c>
      <c r="J7" s="9">
        <v>23668</v>
      </c>
      <c r="K7" s="10">
        <f>Table1[[#This Row],[2018 Revenue]]/$L$15</f>
        <v>8.3465872022287654E-2</v>
      </c>
      <c r="L7" s="9">
        <v>26060</v>
      </c>
      <c r="M7" s="10">
        <f>Table1[[#This Row],[2019 Revenue]]/$L$15</f>
        <v>9.190132773790842E-2</v>
      </c>
      <c r="N7" s="10">
        <f>Table1[[#This Row],[2019 Revenue]]/Table1[[#This Row],[2018 Revenue]]-1</f>
        <v>0.10106472874767625</v>
      </c>
    </row>
    <row r="8" spans="2:14" x14ac:dyDescent="0.3">
      <c r="C8" s="1" t="s">
        <v>58</v>
      </c>
      <c r="D8" s="6">
        <f>D6-D7</f>
        <v>-186459</v>
      </c>
      <c r="I8" s="8" t="s">
        <v>44</v>
      </c>
      <c r="J8" s="9">
        <v>17293</v>
      </c>
      <c r="K8" s="10">
        <f>Table1[[#This Row],[2018 Revenue]]/$L$15</f>
        <v>6.0984254051099397E-2</v>
      </c>
      <c r="L8" s="9">
        <v>19806</v>
      </c>
      <c r="M8" s="10">
        <f>Table1[[#This Row],[2019 Revenue]]/$L$15</f>
        <v>6.9846419692134079E-2</v>
      </c>
      <c r="N8" s="10">
        <f>Table1[[#This Row],[2019 Revenue]]/Table1[[#This Row],[2018 Revenue]]-1</f>
        <v>0.14531891516798701</v>
      </c>
    </row>
    <row r="9" spans="2:14" x14ac:dyDescent="0.3">
      <c r="C9" s="1" t="s">
        <v>28</v>
      </c>
      <c r="D9" s="6">
        <f>D5-D6+D7</f>
        <v>236037.57</v>
      </c>
      <c r="I9" s="8" t="s">
        <v>49</v>
      </c>
      <c r="J9" s="9">
        <v>12981</v>
      </c>
      <c r="K9" s="10">
        <f>Table1[[#This Row],[2018 Revenue]]/$L$15</f>
        <v>4.5777863981803113E-2</v>
      </c>
      <c r="L9" s="9">
        <v>13934</v>
      </c>
      <c r="M9" s="10">
        <f>Table1[[#This Row],[2019 Revenue]]/$L$15</f>
        <v>4.9138645460476436E-2</v>
      </c>
      <c r="N9" s="10">
        <f>Table1[[#This Row],[2019 Revenue]]/Table1[[#This Row],[2018 Revenue]]-1</f>
        <v>7.3414991140898334E-2</v>
      </c>
    </row>
    <row r="10" spans="2:14" x14ac:dyDescent="0.3">
      <c r="I10" s="8" t="s">
        <v>50</v>
      </c>
      <c r="J10" s="9">
        <v>12104</v>
      </c>
      <c r="K10" s="10">
        <f>Table1[[#This Row],[2018 Revenue]]/$L$15</f>
        <v>4.2685098654629453E-2</v>
      </c>
      <c r="L10" s="9">
        <v>12663</v>
      </c>
      <c r="M10" s="10">
        <f>Table1[[#This Row],[2019 Revenue]]/$L$15</f>
        <v>4.4656427979475603E-2</v>
      </c>
      <c r="N10" s="10">
        <f>Table1[[#This Row],[2019 Revenue]]/Table1[[#This Row],[2018 Revenue]]-1</f>
        <v>4.6183079973562524E-2</v>
      </c>
    </row>
    <row r="11" spans="2:14" x14ac:dyDescent="0.3">
      <c r="I11" s="8" t="s">
        <v>45</v>
      </c>
      <c r="J11" s="9">
        <v>10202</v>
      </c>
      <c r="K11" s="10">
        <f>Table1[[#This Row],[2018 Revenue]]/$L$15</f>
        <v>3.5977641810519635E-2</v>
      </c>
      <c r="L11" s="9">
        <v>11496</v>
      </c>
      <c r="M11" s="10">
        <f>Table1[[#This Row],[2019 Revenue]]/$L$15</f>
        <v>4.0540969442632198E-2</v>
      </c>
      <c r="N11" s="10">
        <f>Table1[[#This Row],[2019 Revenue]]/Table1[[#This Row],[2018 Revenue]]-1</f>
        <v>0.12683787492648491</v>
      </c>
    </row>
    <row r="12" spans="2:14" x14ac:dyDescent="0.3">
      <c r="I12" s="8" t="s">
        <v>48</v>
      </c>
      <c r="J12" s="9">
        <v>11875</v>
      </c>
      <c r="K12" s="10">
        <f>Table1[[#This Row],[2018 Revenue]]/$L$15</f>
        <v>4.1877523671821279E-2</v>
      </c>
      <c r="L12" s="9">
        <v>11473</v>
      </c>
      <c r="M12" s="10">
        <f>Table1[[#This Row],[2019 Revenue]]/$L$15</f>
        <v>4.0459859291520461E-2</v>
      </c>
      <c r="N12" s="10">
        <f>Table1[[#This Row],[2019 Revenue]]/Table1[[#This Row],[2018 Revenue]]-1</f>
        <v>-3.3852631578947356E-2</v>
      </c>
    </row>
    <row r="13" spans="2:14" x14ac:dyDescent="0.3">
      <c r="I13" s="8" t="s">
        <v>52</v>
      </c>
      <c r="J13" s="9">
        <v>3608</v>
      </c>
      <c r="K13" s="10">
        <f>Table1[[#This Row],[2018 Revenue]]/$L$15</f>
        <v>1.2723714139615256E-2</v>
      </c>
      <c r="L13" s="9">
        <v>3997</v>
      </c>
      <c r="M13" s="10">
        <f>Table1[[#This Row],[2019 Revenue]]/$L$15</f>
        <v>1.4095533651896391E-2</v>
      </c>
      <c r="N13" s="10">
        <f>Table1[[#This Row],[2019 Revenue]]/Table1[[#This Row],[2018 Revenue]]-1</f>
        <v>0.10781596452328168</v>
      </c>
    </row>
    <row r="14" spans="2:14" x14ac:dyDescent="0.3">
      <c r="I14" s="8" t="s">
        <v>46</v>
      </c>
      <c r="J14" s="9">
        <v>1548</v>
      </c>
      <c r="K14" s="10">
        <f>Table1[[#This Row],[2018 Revenue]]/$L$15</f>
        <v>5.4590658226508909E-3</v>
      </c>
      <c r="L14" s="9">
        <v>2092</v>
      </c>
      <c r="M14" s="10">
        <f>Table1[[#This Row],[2019 Revenue]]/$L$15</f>
        <v>7.3774972228589563E-3</v>
      </c>
      <c r="N14" s="10">
        <f>Table1[[#This Row],[2019 Revenue]]/Table1[[#This Row],[2018 Revenue]]-1</f>
        <v>0.35142118863049099</v>
      </c>
    </row>
    <row r="15" spans="2:14" x14ac:dyDescent="0.3">
      <c r="I15" s="11" t="s">
        <v>53</v>
      </c>
      <c r="J15" s="9">
        <f>SUM(J4:J14)</f>
        <v>269876</v>
      </c>
      <c r="K15" s="10">
        <f>Table1[[#This Row],[2018 Revenue]]/$L$15</f>
        <v>0.95172535397527902</v>
      </c>
      <c r="L15" s="9">
        <f>SUM(L4:L14)</f>
        <v>283565</v>
      </c>
      <c r="M15" s="10">
        <f>Table1[[#This Row],[2019 Revenue]]/$L$15</f>
        <v>1</v>
      </c>
      <c r="N15" s="10">
        <f>Table1[[#This Row],[2019 Revenue]]/Table1[[#This Row],[2018 Revenue]]-1</f>
        <v>5.0723295142954594E-2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6E3C-30BA-4B28-BB1D-F276369A9923}">
  <dimension ref="B1:FB46"/>
  <sheetViews>
    <sheetView tabSelected="1" workbookViewId="0">
      <pane xSplit="2" ySplit="2" topLeftCell="AP3" activePane="bottomRight" state="frozen"/>
      <selection pane="topRight" activeCell="C1" sqref="C1"/>
      <selection pane="bottomLeft" activeCell="A3" sqref="A3"/>
      <selection pane="bottomRight" activeCell="BG8" sqref="BG8"/>
    </sheetView>
  </sheetViews>
  <sheetFormatPr defaultRowHeight="14.4" x14ac:dyDescent="0.3"/>
  <cols>
    <col min="1" max="1" width="8.88671875" style="1"/>
    <col min="2" max="2" width="23.44140625" style="1" bestFit="1" customWidth="1"/>
    <col min="3" max="37" width="8.88671875" style="1"/>
    <col min="38" max="38" width="8.88671875" style="6" customWidth="1"/>
    <col min="39" max="49" width="8.88671875" style="1"/>
    <col min="50" max="51" width="8.88671875" style="1" customWidth="1"/>
    <col min="52" max="54" width="8.88671875" style="1"/>
    <col min="55" max="55" width="11.88671875" style="1" bestFit="1" customWidth="1"/>
    <col min="56" max="56" width="17.33203125" style="1" bestFit="1" customWidth="1"/>
    <col min="57" max="16384" width="8.88671875" style="1"/>
  </cols>
  <sheetData>
    <row r="1" spans="2:158" x14ac:dyDescent="0.3">
      <c r="AL1" s="1"/>
    </row>
    <row r="2" spans="2:158" x14ac:dyDescent="0.3"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3" t="s">
        <v>11</v>
      </c>
      <c r="N2" s="13" t="s">
        <v>12</v>
      </c>
      <c r="O2" s="13" t="s">
        <v>83</v>
      </c>
      <c r="P2" s="13" t="s">
        <v>84</v>
      </c>
      <c r="Q2" s="13" t="s">
        <v>85</v>
      </c>
      <c r="R2" s="13" t="s">
        <v>86</v>
      </c>
      <c r="S2" s="13" t="s">
        <v>87</v>
      </c>
      <c r="T2" s="13" t="s">
        <v>88</v>
      </c>
      <c r="U2" s="13" t="s">
        <v>89</v>
      </c>
      <c r="V2" s="13" t="s">
        <v>90</v>
      </c>
      <c r="W2" s="13" t="s">
        <v>91</v>
      </c>
      <c r="X2" s="13" t="s">
        <v>92</v>
      </c>
      <c r="Y2" s="13" t="s">
        <v>93</v>
      </c>
      <c r="Z2" s="13" t="s">
        <v>94</v>
      </c>
      <c r="AA2" s="13" t="s">
        <v>82</v>
      </c>
      <c r="AB2" s="13" t="s">
        <v>95</v>
      </c>
      <c r="AC2" s="13" t="s">
        <v>96</v>
      </c>
      <c r="AD2" s="13" t="s">
        <v>97</v>
      </c>
      <c r="AE2" s="13" t="s">
        <v>103</v>
      </c>
      <c r="AF2" s="13" t="s">
        <v>104</v>
      </c>
      <c r="AG2" s="13" t="s">
        <v>105</v>
      </c>
      <c r="AH2" s="13" t="s">
        <v>106</v>
      </c>
      <c r="AJ2" s="1">
        <v>2018</v>
      </c>
      <c r="AK2" s="1">
        <v>2019</v>
      </c>
      <c r="AL2" s="1">
        <v>2020</v>
      </c>
      <c r="AM2" s="1">
        <v>2021</v>
      </c>
      <c r="AN2" s="1">
        <v>2022</v>
      </c>
      <c r="AO2" s="1">
        <v>2023</v>
      </c>
      <c r="AP2" s="1">
        <v>2024</v>
      </c>
      <c r="AQ2" s="1">
        <v>2025</v>
      </c>
      <c r="AR2" s="1">
        <v>2026</v>
      </c>
      <c r="AS2" s="1">
        <v>2027</v>
      </c>
      <c r="AT2" s="1">
        <v>2028</v>
      </c>
      <c r="AU2" s="1">
        <v>2029</v>
      </c>
      <c r="AV2" s="1">
        <v>2030</v>
      </c>
      <c r="AW2" s="1">
        <v>2031</v>
      </c>
      <c r="AX2" s="1">
        <v>2032</v>
      </c>
      <c r="AY2" s="1">
        <v>2033</v>
      </c>
      <c r="AZ2" s="1">
        <v>2034</v>
      </c>
      <c r="BA2" s="1">
        <v>2035</v>
      </c>
    </row>
    <row r="3" spans="2:158" s="3" customFormat="1" x14ac:dyDescent="0.3">
      <c r="B3" s="3" t="s">
        <v>0</v>
      </c>
      <c r="C3" s="14">
        <v>58228</v>
      </c>
      <c r="D3" s="14">
        <v>61149</v>
      </c>
      <c r="E3" s="14">
        <v>55200</v>
      </c>
      <c r="F3" s="14">
        <f>235849-E3-D3-C3</f>
        <v>61272</v>
      </c>
      <c r="G3" s="14">
        <v>60012</v>
      </c>
      <c r="H3" s="14">
        <v>65185</v>
      </c>
      <c r="I3" s="14">
        <v>61420</v>
      </c>
      <c r="J3" s="14">
        <f>252632-I3-H3-G3</f>
        <v>66015</v>
      </c>
      <c r="K3" s="14">
        <v>55054</v>
      </c>
      <c r="L3" s="14">
        <v>41076</v>
      </c>
      <c r="M3" s="14">
        <v>59355</v>
      </c>
      <c r="N3" s="14">
        <f>AL3-M3-L3-K3</f>
        <v>67399</v>
      </c>
      <c r="O3" s="14">
        <v>62376</v>
      </c>
      <c r="P3" s="14">
        <v>67293</v>
      </c>
      <c r="Q3" s="14">
        <v>56931</v>
      </c>
      <c r="R3" s="14">
        <f>AM3-O3-P3-Q3</f>
        <v>63600</v>
      </c>
      <c r="S3" s="14">
        <v>62742</v>
      </c>
      <c r="T3" s="14">
        <v>69543</v>
      </c>
      <c r="U3" s="14">
        <v>70712</v>
      </c>
      <c r="V3" s="14">
        <f>AN3-S3-T3-U3</f>
        <v>76235</v>
      </c>
      <c r="W3" s="14">
        <v>76198</v>
      </c>
      <c r="X3" s="14">
        <v>80059</v>
      </c>
      <c r="Y3" s="14">
        <v>78845</v>
      </c>
      <c r="Z3" s="14">
        <f>AO3-W3-X3-Y3</f>
        <v>87182</v>
      </c>
      <c r="AA3" s="14">
        <v>75461</v>
      </c>
      <c r="AB3" s="14">
        <v>83339</v>
      </c>
      <c r="AC3" s="14">
        <v>78478</v>
      </c>
      <c r="AD3" s="14">
        <f>AP3-AC3-AB3-AA3</f>
        <v>87378</v>
      </c>
      <c r="AE3" s="14">
        <f>AD3*1.01</f>
        <v>88251.78</v>
      </c>
      <c r="AF3" s="14">
        <f t="shared" ref="AF3:AH3" si="0">AE3*1.01</f>
        <v>89134.2978</v>
      </c>
      <c r="AG3" s="14">
        <f t="shared" si="0"/>
        <v>90025.640778000001</v>
      </c>
      <c r="AH3" s="14">
        <f t="shared" si="0"/>
        <v>90925.897185780006</v>
      </c>
      <c r="AJ3" s="14">
        <f>SUM(C3:F3)</f>
        <v>235849</v>
      </c>
      <c r="AK3" s="14">
        <f>SUM(G3:J3)</f>
        <v>252632</v>
      </c>
      <c r="AL3" s="14">
        <v>222884</v>
      </c>
      <c r="AM3" s="14">
        <v>250200</v>
      </c>
      <c r="AN3" s="14">
        <v>279232</v>
      </c>
      <c r="AO3" s="14">
        <v>322284</v>
      </c>
      <c r="AP3" s="14">
        <v>324656</v>
      </c>
      <c r="AQ3" s="14">
        <f>AP3*1.01</f>
        <v>327902.56</v>
      </c>
      <c r="AR3" s="14">
        <f>AQ3*1.01</f>
        <v>331181.58559999999</v>
      </c>
      <c r="AS3" s="14">
        <f>AR3*1.01</f>
        <v>334493.40145599999</v>
      </c>
      <c r="AT3" s="14">
        <f t="shared" ref="AT3:BA3" si="1">AS3*1.01</f>
        <v>337838.33547056001</v>
      </c>
      <c r="AU3" s="14">
        <f t="shared" si="1"/>
        <v>341216.71882526559</v>
      </c>
      <c r="AV3" s="14">
        <f t="shared" si="1"/>
        <v>344628.88601351826</v>
      </c>
      <c r="AW3" s="14">
        <f t="shared" si="1"/>
        <v>348075.17487365345</v>
      </c>
      <c r="AX3" s="14">
        <f t="shared" si="1"/>
        <v>351555.92662238999</v>
      </c>
      <c r="AY3" s="14">
        <f t="shared" si="1"/>
        <v>355071.48588861391</v>
      </c>
      <c r="AZ3" s="14">
        <f t="shared" si="1"/>
        <v>358622.20074750006</v>
      </c>
      <c r="BA3" s="14">
        <f t="shared" si="1"/>
        <v>362208.42275497504</v>
      </c>
    </row>
    <row r="4" spans="2:158" x14ac:dyDescent="0.3">
      <c r="B4" s="1" t="s">
        <v>13</v>
      </c>
      <c r="C4" s="6">
        <v>46657</v>
      </c>
      <c r="D4" s="6">
        <v>47891</v>
      </c>
      <c r="E4" s="6">
        <v>44984</v>
      </c>
      <c r="F4" s="6">
        <f>189500-E4-D4-C4</f>
        <v>49968</v>
      </c>
      <c r="G4" s="6">
        <v>48324</v>
      </c>
      <c r="H4" s="6">
        <v>52130</v>
      </c>
      <c r="I4" s="6">
        <v>49782</v>
      </c>
      <c r="J4" s="6">
        <f>203490-I4-H4-G4</f>
        <v>53254</v>
      </c>
      <c r="K4" s="6">
        <v>45824</v>
      </c>
      <c r="L4" s="6">
        <v>37404</v>
      </c>
      <c r="M4" s="6">
        <v>48928</v>
      </c>
      <c r="N4" s="6">
        <f>AL4-M4-L4-K4</f>
        <v>51781</v>
      </c>
      <c r="O4" s="6">
        <v>50048</v>
      </c>
      <c r="P4" s="6">
        <v>54772</v>
      </c>
      <c r="Q4" s="6">
        <v>48009</v>
      </c>
      <c r="R4" s="6">
        <f>AM4-O4-P4-Q4</f>
        <v>50130</v>
      </c>
      <c r="S4" s="6">
        <v>50754</v>
      </c>
      <c r="T4" s="6">
        <v>55053</v>
      </c>
      <c r="U4" s="6">
        <v>58036</v>
      </c>
      <c r="V4" s="6">
        <f>AN4-S4-T4-U4</f>
        <v>63162</v>
      </c>
      <c r="W4" s="6">
        <v>61005</v>
      </c>
      <c r="X4" s="6">
        <v>64337</v>
      </c>
      <c r="Y4" s="6">
        <v>65436</v>
      </c>
      <c r="Z4" s="6">
        <f>AO4-W4-X4-Y4</f>
        <v>70484</v>
      </c>
      <c r="AA4" s="6">
        <v>61915</v>
      </c>
      <c r="AB4" s="6">
        <v>67558</v>
      </c>
      <c r="AC4" s="6">
        <v>65420</v>
      </c>
      <c r="AD4" s="6">
        <f>AP4-AC4-AB4-AA4</f>
        <v>70291</v>
      </c>
      <c r="AE4" s="6">
        <f>AE3-AE5</f>
        <v>72366.459600000002</v>
      </c>
      <c r="AF4" s="6">
        <f t="shared" ref="AF4:AH4" si="2">AF3-AF5</f>
        <v>73090.124196000004</v>
      </c>
      <c r="AG4" s="6">
        <f t="shared" si="2"/>
        <v>73821.025437959994</v>
      </c>
      <c r="AH4" s="6">
        <f t="shared" si="2"/>
        <v>74559.2356923396</v>
      </c>
      <c r="AJ4" s="6">
        <f>SUM(C4:F4)</f>
        <v>189500</v>
      </c>
      <c r="AK4" s="6">
        <f>SUM(G4:J4)</f>
        <v>203490</v>
      </c>
      <c r="AL4" s="6">
        <v>183937</v>
      </c>
      <c r="AM4" s="6">
        <v>202959</v>
      </c>
      <c r="AN4" s="6">
        <v>227005</v>
      </c>
      <c r="AO4" s="6">
        <v>261262</v>
      </c>
      <c r="AP4" s="6">
        <v>265184</v>
      </c>
      <c r="AQ4" s="6">
        <f t="shared" ref="AQ4:AV4" si="3">AQ3-AQ5</f>
        <v>268880.0992</v>
      </c>
      <c r="AR4" s="6">
        <f t="shared" si="3"/>
        <v>271568.90019199997</v>
      </c>
      <c r="AS4" s="6">
        <f t="shared" si="3"/>
        <v>274284.58919392002</v>
      </c>
      <c r="AT4" s="6">
        <f t="shared" si="3"/>
        <v>277027.43508585921</v>
      </c>
      <c r="AU4" s="6">
        <f t="shared" si="3"/>
        <v>279797.70943671779</v>
      </c>
      <c r="AV4" s="6">
        <f t="shared" si="3"/>
        <v>282595.686531085</v>
      </c>
      <c r="AW4" s="6">
        <f t="shared" ref="AW4:BA4" si="4">AW3-AW5</f>
        <v>285421.64339639584</v>
      </c>
      <c r="AX4" s="6">
        <f t="shared" si="4"/>
        <v>288275.85983035981</v>
      </c>
      <c r="AY4" s="6">
        <f t="shared" si="4"/>
        <v>291158.61842866341</v>
      </c>
      <c r="AZ4" s="6">
        <f t="shared" si="4"/>
        <v>294070.20461295004</v>
      </c>
      <c r="BA4" s="6">
        <f t="shared" si="4"/>
        <v>297010.90665907954</v>
      </c>
    </row>
    <row r="5" spans="2:158" s="3" customFormat="1" x14ac:dyDescent="0.3">
      <c r="B5" s="3" t="s">
        <v>14</v>
      </c>
      <c r="C5" s="14">
        <f t="shared" ref="C5:M5" si="5">C3-C4</f>
        <v>11571</v>
      </c>
      <c r="D5" s="14">
        <f t="shared" si="5"/>
        <v>13258</v>
      </c>
      <c r="E5" s="14">
        <f t="shared" si="5"/>
        <v>10216</v>
      </c>
      <c r="F5" s="14">
        <f t="shared" si="5"/>
        <v>11304</v>
      </c>
      <c r="G5" s="14">
        <f t="shared" si="5"/>
        <v>11688</v>
      </c>
      <c r="H5" s="14">
        <f t="shared" si="5"/>
        <v>13055</v>
      </c>
      <c r="I5" s="14">
        <f t="shared" si="5"/>
        <v>11638</v>
      </c>
      <c r="J5" s="14">
        <f t="shared" si="5"/>
        <v>12761</v>
      </c>
      <c r="K5" s="14">
        <f t="shared" si="5"/>
        <v>9230</v>
      </c>
      <c r="L5" s="14">
        <f t="shared" si="5"/>
        <v>3672</v>
      </c>
      <c r="M5" s="14">
        <f t="shared" si="5"/>
        <v>10427</v>
      </c>
      <c r="N5" s="14">
        <f t="shared" ref="N5:Q5" si="6">N3-N4</f>
        <v>15618</v>
      </c>
      <c r="O5" s="14">
        <f t="shared" si="6"/>
        <v>12328</v>
      </c>
      <c r="P5" s="14">
        <f t="shared" si="6"/>
        <v>12521</v>
      </c>
      <c r="Q5" s="14">
        <f t="shared" si="6"/>
        <v>8922</v>
      </c>
      <c r="R5" s="14">
        <f t="shared" ref="R5" si="7">R3-R4</f>
        <v>13470</v>
      </c>
      <c r="S5" s="14">
        <f t="shared" ref="S5:T5" si="8">S3-S4</f>
        <v>11988</v>
      </c>
      <c r="T5" s="14">
        <f t="shared" si="8"/>
        <v>14490</v>
      </c>
      <c r="U5" s="14">
        <f t="shared" ref="U5:V5" si="9">U3-U4</f>
        <v>12676</v>
      </c>
      <c r="V5" s="14">
        <f t="shared" si="9"/>
        <v>13073</v>
      </c>
      <c r="W5" s="14">
        <f t="shared" ref="W5:X5" si="10">W3-W4</f>
        <v>15193</v>
      </c>
      <c r="X5" s="14">
        <f t="shared" si="10"/>
        <v>15722</v>
      </c>
      <c r="Y5" s="14">
        <f t="shared" ref="Y5" si="11">Y3-Y4</f>
        <v>13409</v>
      </c>
      <c r="Z5" s="14">
        <f t="shared" ref="Z5" si="12">Z3-Z4</f>
        <v>16698</v>
      </c>
      <c r="AA5" s="14">
        <f t="shared" ref="AA5:AC5" si="13">AA3-AA4</f>
        <v>13546</v>
      </c>
      <c r="AB5" s="14">
        <f t="shared" si="13"/>
        <v>15781</v>
      </c>
      <c r="AC5" s="14">
        <f t="shared" si="13"/>
        <v>13058</v>
      </c>
      <c r="AD5" s="14">
        <f t="shared" ref="AD5" si="14">AD3*0.19</f>
        <v>16601.82</v>
      </c>
      <c r="AE5" s="14">
        <f>AE3*0.18</f>
        <v>15885.320399999999</v>
      </c>
      <c r="AF5" s="14">
        <f t="shared" ref="AF5:AH5" si="15">AF3*0.18</f>
        <v>16044.173604</v>
      </c>
      <c r="AG5" s="14">
        <f t="shared" si="15"/>
        <v>16204.61534004</v>
      </c>
      <c r="AH5" s="14">
        <f t="shared" si="15"/>
        <v>16366.661493440401</v>
      </c>
      <c r="AJ5" s="14">
        <f>AJ3-AJ4</f>
        <v>46349</v>
      </c>
      <c r="AK5" s="14">
        <f>AK3-AK4</f>
        <v>49142</v>
      </c>
      <c r="AL5" s="14">
        <f>AL3-AL4</f>
        <v>38947</v>
      </c>
      <c r="AM5" s="14">
        <f t="shared" ref="AM5:AP5" si="16">AM3-AM4</f>
        <v>47241</v>
      </c>
      <c r="AN5" s="14">
        <f t="shared" si="16"/>
        <v>52227</v>
      </c>
      <c r="AO5" s="14">
        <f t="shared" si="16"/>
        <v>61022</v>
      </c>
      <c r="AP5" s="14">
        <f t="shared" si="16"/>
        <v>59472</v>
      </c>
      <c r="AQ5" s="14">
        <f>AQ3*0.18</f>
        <v>59022.460800000001</v>
      </c>
      <c r="AR5" s="14">
        <f t="shared" ref="AR5:BA5" si="17">AR3*0.18</f>
        <v>59612.685407999998</v>
      </c>
      <c r="AS5" s="14">
        <f t="shared" si="17"/>
        <v>60208.812262079999</v>
      </c>
      <c r="AT5" s="14">
        <f t="shared" si="17"/>
        <v>60810.900384700799</v>
      </c>
      <c r="AU5" s="14">
        <f t="shared" si="17"/>
        <v>61419.009388547805</v>
      </c>
      <c r="AV5" s="14">
        <f t="shared" si="17"/>
        <v>62033.199482433287</v>
      </c>
      <c r="AW5" s="14">
        <f t="shared" si="17"/>
        <v>62653.531477257617</v>
      </c>
      <c r="AX5" s="14">
        <f t="shared" si="17"/>
        <v>63280.066792030193</v>
      </c>
      <c r="AY5" s="14">
        <f t="shared" si="17"/>
        <v>63912.867459950503</v>
      </c>
      <c r="AZ5" s="14">
        <f t="shared" si="17"/>
        <v>64551.996134550005</v>
      </c>
      <c r="BA5" s="14">
        <f t="shared" si="17"/>
        <v>65197.516095895502</v>
      </c>
    </row>
    <row r="6" spans="2:158" x14ac:dyDescent="0.3">
      <c r="B6" s="1" t="s">
        <v>98</v>
      </c>
      <c r="C6" s="6">
        <v>4759</v>
      </c>
      <c r="D6" s="6">
        <v>5485</v>
      </c>
      <c r="E6" s="6">
        <v>4824</v>
      </c>
      <c r="F6" s="6">
        <f>20510-E6-D6-C6</f>
        <v>5442</v>
      </c>
      <c r="G6" s="6">
        <v>4941</v>
      </c>
      <c r="H6" s="6">
        <v>5056</v>
      </c>
      <c r="I6" s="6">
        <v>5096</v>
      </c>
      <c r="J6" s="6">
        <f>20978-I6-H6-G6</f>
        <v>5885</v>
      </c>
      <c r="K6" s="6">
        <v>4472</v>
      </c>
      <c r="L6" s="6">
        <v>3880</v>
      </c>
      <c r="M6" s="6">
        <v>4508</v>
      </c>
      <c r="N6" s="6">
        <f>AL6-M6-L6-K6</f>
        <v>5547</v>
      </c>
      <c r="O6" s="6">
        <v>4360</v>
      </c>
      <c r="P6" s="6">
        <v>4704</v>
      </c>
      <c r="Q6" s="6">
        <v>4774</v>
      </c>
      <c r="R6" s="6">
        <f>AM6-O6-P6-Q6</f>
        <v>5390</v>
      </c>
      <c r="S6" s="6">
        <v>4315</v>
      </c>
      <c r="T6" s="6">
        <v>4762</v>
      </c>
      <c r="U6" s="6">
        <v>4836</v>
      </c>
      <c r="V6" s="6">
        <f>AN6-S6-T6-U6</f>
        <v>5927</v>
      </c>
      <c r="W6" s="6">
        <v>4836</v>
      </c>
      <c r="X6" s="6">
        <v>5190</v>
      </c>
      <c r="Y6" s="6">
        <v>5318</v>
      </c>
      <c r="Z6" s="6">
        <f>AO6-W6-X6-Y6</f>
        <v>5996</v>
      </c>
      <c r="AA6" s="6">
        <v>5103</v>
      </c>
      <c r="AB6" s="6">
        <v>5409</v>
      </c>
      <c r="AC6" s="6">
        <v>5496</v>
      </c>
      <c r="AD6" s="6">
        <f t="shared" ref="AD6:AD8" si="18">AP6-AC6-AB6-AA6</f>
        <v>6312</v>
      </c>
      <c r="AE6" s="6"/>
      <c r="AF6" s="6"/>
      <c r="AG6" s="6"/>
      <c r="AH6" s="6"/>
      <c r="AJ6" s="6">
        <f>SUM(C6:F6)</f>
        <v>20510</v>
      </c>
      <c r="AK6" s="6">
        <f>SUM(G6:J6)</f>
        <v>20978</v>
      </c>
      <c r="AL6" s="6">
        <v>18407</v>
      </c>
      <c r="AM6" s="6">
        <v>19228</v>
      </c>
      <c r="AN6" s="6">
        <v>19840</v>
      </c>
      <c r="AO6" s="6">
        <v>21340</v>
      </c>
      <c r="AP6" s="6">
        <v>22320</v>
      </c>
      <c r="AQ6" s="6">
        <f>AQ3*0.07</f>
        <v>22953.179200000002</v>
      </c>
      <c r="AR6" s="6">
        <f t="shared" ref="AR6:BA6" si="19">AR3*0.07</f>
        <v>23182.710992</v>
      </c>
      <c r="AS6" s="6">
        <f t="shared" si="19"/>
        <v>23414.538101920003</v>
      </c>
      <c r="AT6" s="6">
        <f t="shared" si="19"/>
        <v>23648.683482939203</v>
      </c>
      <c r="AU6" s="6">
        <f t="shared" si="19"/>
        <v>23885.170317768592</v>
      </c>
      <c r="AV6" s="6">
        <f t="shared" si="19"/>
        <v>24124.022020946282</v>
      </c>
      <c r="AW6" s="6">
        <f t="shared" si="19"/>
        <v>24365.262241155742</v>
      </c>
      <c r="AX6" s="6">
        <f t="shared" si="19"/>
        <v>24608.914863567301</v>
      </c>
      <c r="AY6" s="6">
        <f t="shared" si="19"/>
        <v>24855.004012202975</v>
      </c>
      <c r="AZ6" s="6">
        <f t="shared" si="19"/>
        <v>25103.554052325006</v>
      </c>
      <c r="BA6" s="6">
        <f t="shared" si="19"/>
        <v>25354.589592848253</v>
      </c>
    </row>
    <row r="7" spans="2:158" x14ac:dyDescent="0.3">
      <c r="B7" s="1" t="s">
        <v>101</v>
      </c>
      <c r="C7" s="6">
        <v>2125</v>
      </c>
      <c r="D7" s="6">
        <v>2101</v>
      </c>
      <c r="E7" s="6">
        <v>2008</v>
      </c>
      <c r="F7" s="6">
        <f>8819-E7-D7-C7</f>
        <v>2585</v>
      </c>
      <c r="G7" s="6">
        <v>2271</v>
      </c>
      <c r="H7" s="6">
        <v>2252</v>
      </c>
      <c r="I7" s="6">
        <v>2313</v>
      </c>
      <c r="J7" s="6">
        <f>9767-I7-H7-G7</f>
        <v>2931</v>
      </c>
      <c r="K7" s="6">
        <v>2445</v>
      </c>
      <c r="L7" s="6">
        <v>2415</v>
      </c>
      <c r="M7" s="6">
        <v>2354</v>
      </c>
      <c r="N7" s="6">
        <f>AL7-M7-L7-K7</f>
        <v>2185</v>
      </c>
      <c r="O7" s="6">
        <v>2629</v>
      </c>
      <c r="P7" s="6">
        <v>2304</v>
      </c>
      <c r="Q7" s="6">
        <v>2522</v>
      </c>
      <c r="R7" s="6">
        <f>AM7-O7-P7-Q7</f>
        <v>2965</v>
      </c>
      <c r="S7" s="6">
        <v>2777</v>
      </c>
      <c r="T7" s="6">
        <v>2788</v>
      </c>
      <c r="U7" s="6">
        <v>3123</v>
      </c>
      <c r="V7" s="6">
        <f>AN7-S7-T7-U7</f>
        <v>3001</v>
      </c>
      <c r="W7" s="6">
        <v>3241</v>
      </c>
      <c r="X7" s="6">
        <v>2960</v>
      </c>
      <c r="Y7" s="6">
        <v>3132</v>
      </c>
      <c r="Z7" s="6">
        <f>AO7-W7-X7-Y7</f>
        <v>3391</v>
      </c>
      <c r="AA7" s="6">
        <v>3358</v>
      </c>
      <c r="AB7" s="6">
        <v>3255</v>
      </c>
      <c r="AC7" s="6">
        <v>2754</v>
      </c>
      <c r="AD7" s="6">
        <f t="shared" si="18"/>
        <v>3387</v>
      </c>
      <c r="AE7" s="6"/>
      <c r="AF7" s="6"/>
      <c r="AG7" s="6"/>
      <c r="AH7" s="6"/>
      <c r="AJ7" s="6">
        <f>SUM(C7:F7)</f>
        <v>8819</v>
      </c>
      <c r="AK7" s="6">
        <f>SUM(G7:J7)</f>
        <v>9767</v>
      </c>
      <c r="AL7" s="6">
        <v>9399</v>
      </c>
      <c r="AM7" s="6">
        <v>10420</v>
      </c>
      <c r="AN7" s="6">
        <v>11689</v>
      </c>
      <c r="AO7" s="6">
        <v>12724</v>
      </c>
      <c r="AP7" s="6">
        <v>12754</v>
      </c>
      <c r="AQ7" s="6">
        <f>AP7*1.01</f>
        <v>12881.54</v>
      </c>
      <c r="AR7" s="6">
        <f t="shared" ref="AR7:BA7" si="20">AQ7*1.01</f>
        <v>13010.3554</v>
      </c>
      <c r="AS7" s="6">
        <f t="shared" si="20"/>
        <v>13140.458954</v>
      </c>
      <c r="AT7" s="6">
        <f t="shared" si="20"/>
        <v>13271.863543539999</v>
      </c>
      <c r="AU7" s="6">
        <f t="shared" si="20"/>
        <v>13404.582178975399</v>
      </c>
      <c r="AV7" s="6">
        <f t="shared" si="20"/>
        <v>13538.628000765153</v>
      </c>
      <c r="AW7" s="6">
        <f t="shared" si="20"/>
        <v>13674.014280772804</v>
      </c>
      <c r="AX7" s="6">
        <f t="shared" si="20"/>
        <v>13810.754423580533</v>
      </c>
      <c r="AY7" s="6">
        <f t="shared" si="20"/>
        <v>13948.861967816338</v>
      </c>
      <c r="AZ7" s="6">
        <f t="shared" si="20"/>
        <v>14088.3505874945</v>
      </c>
      <c r="BA7" s="6">
        <f t="shared" si="20"/>
        <v>14229.234093369445</v>
      </c>
    </row>
    <row r="8" spans="2:158" s="3" customFormat="1" x14ac:dyDescent="0.3">
      <c r="B8" s="1" t="s">
        <v>15</v>
      </c>
      <c r="C8" s="6">
        <v>475</v>
      </c>
      <c r="D8" s="6">
        <v>1723</v>
      </c>
      <c r="E8" s="6">
        <v>673</v>
      </c>
      <c r="F8" s="6">
        <f>-11631+14731-E8-D8-C8</f>
        <v>229</v>
      </c>
      <c r="G8" s="6">
        <v>608</v>
      </c>
      <c r="H8" s="6">
        <v>618</v>
      </c>
      <c r="I8" s="6">
        <v>-313</v>
      </c>
      <c r="J8" s="6">
        <f>-11453+12890-I8-H8-G8</f>
        <v>524</v>
      </c>
      <c r="K8" s="6">
        <v>1409</v>
      </c>
      <c r="L8" s="6">
        <v>-229</v>
      </c>
      <c r="M8" s="6">
        <v>382</v>
      </c>
      <c r="N8" s="6">
        <f>AL8-M8-L8-K8</f>
        <v>-96</v>
      </c>
      <c r="O8" s="6">
        <v>526</v>
      </c>
      <c r="P8" s="6">
        <v>-1035</v>
      </c>
      <c r="Q8" s="6">
        <v>-970</v>
      </c>
      <c r="R8" s="6">
        <f>AM8-O8-P8-Q8</f>
        <v>-203</v>
      </c>
      <c r="S8" s="6">
        <v>-3428</v>
      </c>
      <c r="T8" s="6">
        <v>2436</v>
      </c>
      <c r="U8" s="6">
        <v>448</v>
      </c>
      <c r="V8" s="6">
        <f>AN8-S8-T8-U8</f>
        <v>-882</v>
      </c>
      <c r="W8" s="6">
        <v>1370</v>
      </c>
      <c r="X8" s="6">
        <v>1972</v>
      </c>
      <c r="Y8" s="6">
        <v>64</v>
      </c>
      <c r="Z8" s="6">
        <f>AO8-W8-X8-Y8</f>
        <v>976</v>
      </c>
      <c r="AA8" s="6">
        <v>497</v>
      </c>
      <c r="AB8" s="6">
        <v>1653</v>
      </c>
      <c r="AC8" s="6">
        <v>1954</v>
      </c>
      <c r="AD8" s="6">
        <f t="shared" si="18"/>
        <v>1234</v>
      </c>
      <c r="AE8" s="6"/>
      <c r="AF8" s="6"/>
      <c r="AG8" s="6"/>
      <c r="AH8" s="6"/>
      <c r="AI8" s="1"/>
      <c r="AJ8" s="6">
        <f>SUM(C8:F8)</f>
        <v>3100</v>
      </c>
      <c r="AK8" s="6">
        <f>SUM(G8:J8)</f>
        <v>1437</v>
      </c>
      <c r="AL8" s="6">
        <v>1466</v>
      </c>
      <c r="AM8" s="6">
        <f>-14731+13049</f>
        <v>-1682</v>
      </c>
      <c r="AN8" s="6">
        <f>-19238+17812</f>
        <v>-1426</v>
      </c>
      <c r="AO8" s="6">
        <f>-15152+19534</f>
        <v>4382</v>
      </c>
      <c r="AP8" s="6">
        <f>-14974+20312</f>
        <v>5338</v>
      </c>
      <c r="AQ8" s="6">
        <v>1800</v>
      </c>
      <c r="AR8" s="6">
        <f t="shared" ref="AR8:BA8" si="21">AQ8*1.01</f>
        <v>1818</v>
      </c>
      <c r="AS8" s="6">
        <f t="shared" si="21"/>
        <v>1836.18</v>
      </c>
      <c r="AT8" s="6">
        <f t="shared" si="21"/>
        <v>1854.5418000000002</v>
      </c>
      <c r="AU8" s="6">
        <f t="shared" si="21"/>
        <v>1873.0872180000001</v>
      </c>
      <c r="AV8" s="6">
        <f t="shared" si="21"/>
        <v>1891.8180901800001</v>
      </c>
      <c r="AW8" s="6">
        <f t="shared" si="21"/>
        <v>1910.7362710818002</v>
      </c>
      <c r="AX8" s="6">
        <f t="shared" si="21"/>
        <v>1929.8436337926182</v>
      </c>
      <c r="AY8" s="6">
        <f t="shared" si="21"/>
        <v>1949.1420701305444</v>
      </c>
      <c r="AZ8" s="6">
        <f t="shared" si="21"/>
        <v>1968.6334908318499</v>
      </c>
      <c r="BA8" s="6">
        <f t="shared" si="21"/>
        <v>1988.3198257401684</v>
      </c>
    </row>
    <row r="9" spans="2:158" x14ac:dyDescent="0.3">
      <c r="B9" s="3" t="s">
        <v>16</v>
      </c>
      <c r="C9" s="14">
        <f>C5-C6-C7-C8</f>
        <v>4212</v>
      </c>
      <c r="D9" s="14">
        <f t="shared" ref="D9:Q9" si="22">D5-D6-D7-D8</f>
        <v>3949</v>
      </c>
      <c r="E9" s="14">
        <f t="shared" si="22"/>
        <v>2711</v>
      </c>
      <c r="F9" s="14">
        <f t="shared" si="22"/>
        <v>3048</v>
      </c>
      <c r="G9" s="14">
        <f t="shared" si="22"/>
        <v>3868</v>
      </c>
      <c r="H9" s="14">
        <f t="shared" si="22"/>
        <v>5129</v>
      </c>
      <c r="I9" s="14">
        <f t="shared" si="22"/>
        <v>4542</v>
      </c>
      <c r="J9" s="14">
        <f t="shared" si="22"/>
        <v>3421</v>
      </c>
      <c r="K9" s="14">
        <f t="shared" si="22"/>
        <v>904</v>
      </c>
      <c r="L9" s="14">
        <f t="shared" si="22"/>
        <v>-2394</v>
      </c>
      <c r="M9" s="14">
        <f t="shared" si="22"/>
        <v>3183</v>
      </c>
      <c r="N9" s="14">
        <f t="shared" si="22"/>
        <v>7982</v>
      </c>
      <c r="O9" s="14">
        <f t="shared" si="22"/>
        <v>4813</v>
      </c>
      <c r="P9" s="14">
        <f t="shared" si="22"/>
        <v>6548</v>
      </c>
      <c r="Q9" s="14">
        <f t="shared" si="22"/>
        <v>2596</v>
      </c>
      <c r="R9" s="14">
        <f t="shared" ref="R9" si="23">R5-R6-R7-R8</f>
        <v>5318</v>
      </c>
      <c r="S9" s="14">
        <f t="shared" ref="S9:T9" si="24">S5-S6-S7-S8</f>
        <v>8324</v>
      </c>
      <c r="T9" s="14">
        <f t="shared" si="24"/>
        <v>4504</v>
      </c>
      <c r="U9" s="14">
        <f t="shared" ref="U9:V9" si="25">U5-U6-U7-U8</f>
        <v>4269</v>
      </c>
      <c r="V9" s="14">
        <f t="shared" si="25"/>
        <v>5027</v>
      </c>
      <c r="W9" s="14">
        <f t="shared" ref="W9:X9" si="26">W5-W6-W7-W8</f>
        <v>5746</v>
      </c>
      <c r="X9" s="14">
        <f t="shared" si="26"/>
        <v>5600</v>
      </c>
      <c r="Y9" s="14">
        <f t="shared" ref="Y9" si="27">Y5-Y6-Y7-Y8</f>
        <v>4895</v>
      </c>
      <c r="Z9" s="14">
        <f t="shared" ref="Z9" si="28">Z5-Z6-Z7-Z8</f>
        <v>6335</v>
      </c>
      <c r="AA9" s="14">
        <f t="shared" ref="AA9:AD9" si="29">AA5-AA6-AA7-AA8</f>
        <v>4588</v>
      </c>
      <c r="AB9" s="14">
        <f t="shared" si="29"/>
        <v>5464</v>
      </c>
      <c r="AC9" s="14">
        <f t="shared" si="29"/>
        <v>2854</v>
      </c>
      <c r="AD9" s="14">
        <f t="shared" si="29"/>
        <v>5668.82</v>
      </c>
      <c r="AE9" s="14"/>
      <c r="AF9" s="14"/>
      <c r="AG9" s="14"/>
      <c r="AH9" s="14"/>
      <c r="AI9" s="3"/>
      <c r="AJ9" s="14">
        <f t="shared" ref="AJ9:AV9" si="30">AJ5-AJ6-AJ7-AJ8</f>
        <v>13920</v>
      </c>
      <c r="AK9" s="14">
        <f t="shared" si="30"/>
        <v>16960</v>
      </c>
      <c r="AL9" s="14">
        <f t="shared" si="30"/>
        <v>9675</v>
      </c>
      <c r="AM9" s="14">
        <f t="shared" si="30"/>
        <v>19275</v>
      </c>
      <c r="AN9" s="14">
        <f t="shared" si="30"/>
        <v>22124</v>
      </c>
      <c r="AO9" s="14">
        <f t="shared" si="30"/>
        <v>22576</v>
      </c>
      <c r="AP9" s="14">
        <f t="shared" si="30"/>
        <v>19060</v>
      </c>
      <c r="AQ9" s="14">
        <f t="shared" si="30"/>
        <v>21387.741600000001</v>
      </c>
      <c r="AR9" s="14">
        <f t="shared" si="30"/>
        <v>21601.619015999997</v>
      </c>
      <c r="AS9" s="14">
        <f t="shared" si="30"/>
        <v>21817.635206159997</v>
      </c>
      <c r="AT9" s="14">
        <f t="shared" si="30"/>
        <v>22035.811558221598</v>
      </c>
      <c r="AU9" s="14">
        <f t="shared" si="30"/>
        <v>22256.169673803815</v>
      </c>
      <c r="AV9" s="14">
        <f t="shared" si="30"/>
        <v>22478.731370541856</v>
      </c>
      <c r="AW9" s="14">
        <f t="shared" ref="AW9:BA9" si="31">AW5-AW6-AW7-AW8</f>
        <v>22703.518684247265</v>
      </c>
      <c r="AX9" s="14">
        <f t="shared" si="31"/>
        <v>22930.553871089738</v>
      </c>
      <c r="AY9" s="14">
        <f t="shared" si="31"/>
        <v>23159.859409800647</v>
      </c>
      <c r="AZ9" s="14">
        <f t="shared" si="31"/>
        <v>23391.458003898646</v>
      </c>
      <c r="BA9" s="14">
        <f t="shared" si="31"/>
        <v>23625.372583937635</v>
      </c>
    </row>
    <row r="10" spans="2:158" s="3" customFormat="1" x14ac:dyDescent="0.3">
      <c r="B10" s="1" t="s">
        <v>17</v>
      </c>
      <c r="C10" s="6">
        <v>-266</v>
      </c>
      <c r="D10" s="6">
        <v>-547</v>
      </c>
      <c r="E10" s="6">
        <v>-835</v>
      </c>
      <c r="F10" s="6">
        <f>-1723-E10-D10-C10</f>
        <v>-75</v>
      </c>
      <c r="G10" s="6">
        <v>-203</v>
      </c>
      <c r="H10" s="6">
        <v>-357</v>
      </c>
      <c r="I10" s="6">
        <v>-539</v>
      </c>
      <c r="J10" s="6">
        <f>-1396-I10-H10-G10</f>
        <v>-297</v>
      </c>
      <c r="K10" s="6">
        <v>222</v>
      </c>
      <c r="L10" s="6">
        <v>-360</v>
      </c>
      <c r="M10" s="6">
        <v>-423</v>
      </c>
      <c r="N10" s="6">
        <f>AL10-M10-L10-K10</f>
        <v>-1430</v>
      </c>
      <c r="O10" s="6">
        <f>-519+868</f>
        <v>349</v>
      </c>
      <c r="P10" s="6">
        <f>-380+236</f>
        <v>-144</v>
      </c>
      <c r="Q10" s="6">
        <v>-484</v>
      </c>
      <c r="R10" s="6">
        <f>AM10-O10-P10-Q10</f>
        <v>-572</v>
      </c>
      <c r="S10" s="6">
        <f>-627+55</f>
        <v>-572</v>
      </c>
      <c r="T10" s="6">
        <f>-448-187</f>
        <v>-635</v>
      </c>
      <c r="U10" s="6">
        <v>1333</v>
      </c>
      <c r="V10" s="6">
        <f>AN10-S10-T10-U10</f>
        <v>-45</v>
      </c>
      <c r="W10" s="6">
        <f>-535-171</f>
        <v>-706</v>
      </c>
      <c r="X10" s="6">
        <v>154</v>
      </c>
      <c r="Y10" s="6">
        <v>-907</v>
      </c>
      <c r="Z10" s="6">
        <f>AO10-W10-X10-Y10</f>
        <v>841</v>
      </c>
      <c r="AA10" s="6">
        <f>-259-334</f>
        <v>-593</v>
      </c>
      <c r="AB10" s="6">
        <v>478</v>
      </c>
      <c r="AC10" s="6">
        <v>498</v>
      </c>
      <c r="AD10" s="6">
        <f>AP10-AC10-AB10-AA10</f>
        <v>1872</v>
      </c>
      <c r="AE10" s="6"/>
      <c r="AF10" s="6"/>
      <c r="AG10" s="6"/>
      <c r="AH10" s="6"/>
      <c r="AI10" s="1"/>
      <c r="AJ10" s="6">
        <f>SUM(C10:F10)</f>
        <v>-1723</v>
      </c>
      <c r="AK10" s="6">
        <f>SUM(G10:J10)</f>
        <v>-1396</v>
      </c>
      <c r="AL10" s="6">
        <f>-2756+765</f>
        <v>-1991</v>
      </c>
      <c r="AM10" s="6">
        <v>-851</v>
      </c>
      <c r="AN10" s="6">
        <v>81</v>
      </c>
      <c r="AO10" s="6">
        <v>-618</v>
      </c>
      <c r="AP10" s="6">
        <v>2255</v>
      </c>
      <c r="AQ10" s="6">
        <f t="shared" ref="AQ10:AV10" si="32">AP10*1.01</f>
        <v>2277.5500000000002</v>
      </c>
      <c r="AR10" s="6">
        <f t="shared" si="32"/>
        <v>2300.3255000000004</v>
      </c>
      <c r="AS10" s="6">
        <f t="shared" si="32"/>
        <v>2323.3287550000005</v>
      </c>
      <c r="AT10" s="6">
        <f t="shared" si="32"/>
        <v>2346.5620425500006</v>
      </c>
      <c r="AU10" s="6">
        <f t="shared" si="32"/>
        <v>2370.0276629755008</v>
      </c>
      <c r="AV10" s="6">
        <f t="shared" si="32"/>
        <v>2393.7279396052559</v>
      </c>
      <c r="AW10" s="6">
        <f t="shared" ref="AW10" si="33">AV10*1.01</f>
        <v>2417.6652190013083</v>
      </c>
      <c r="AX10" s="6">
        <f t="shared" ref="AX10" si="34">AW10*1.01</f>
        <v>2441.8418711913214</v>
      </c>
      <c r="AY10" s="6">
        <f t="shared" ref="AY10" si="35">AX10*1.01</f>
        <v>2466.2602899032345</v>
      </c>
      <c r="AZ10" s="6">
        <f t="shared" ref="AZ10" si="36">AY10*1.01</f>
        <v>2490.9228928022667</v>
      </c>
      <c r="BA10" s="6">
        <f t="shared" ref="BA10" si="37">AZ10*1.01</f>
        <v>2515.8321217302896</v>
      </c>
    </row>
    <row r="11" spans="2:158" x14ac:dyDescent="0.3">
      <c r="B11" s="3" t="s">
        <v>18</v>
      </c>
      <c r="C11" s="14">
        <f t="shared" ref="C11:Q11" si="38">C9-C10</f>
        <v>4478</v>
      </c>
      <c r="D11" s="14">
        <f t="shared" si="38"/>
        <v>4496</v>
      </c>
      <c r="E11" s="14">
        <f t="shared" si="38"/>
        <v>3546</v>
      </c>
      <c r="F11" s="14">
        <f t="shared" si="38"/>
        <v>3123</v>
      </c>
      <c r="G11" s="14">
        <f t="shared" si="38"/>
        <v>4071</v>
      </c>
      <c r="H11" s="14">
        <f t="shared" si="38"/>
        <v>5486</v>
      </c>
      <c r="I11" s="14">
        <f t="shared" si="38"/>
        <v>5081</v>
      </c>
      <c r="J11" s="14">
        <f t="shared" si="38"/>
        <v>3718</v>
      </c>
      <c r="K11" s="14">
        <f t="shared" si="38"/>
        <v>682</v>
      </c>
      <c r="L11" s="14">
        <f t="shared" si="38"/>
        <v>-2034</v>
      </c>
      <c r="M11" s="14">
        <f t="shared" si="38"/>
        <v>3606</v>
      </c>
      <c r="N11" s="14">
        <f t="shared" si="38"/>
        <v>9412</v>
      </c>
      <c r="O11" s="14">
        <f t="shared" si="38"/>
        <v>4464</v>
      </c>
      <c r="P11" s="14">
        <f t="shared" si="38"/>
        <v>6692</v>
      </c>
      <c r="Q11" s="14">
        <f t="shared" si="38"/>
        <v>3080</v>
      </c>
      <c r="R11" s="14">
        <f t="shared" ref="R11" si="39">R9-R10</f>
        <v>5890</v>
      </c>
      <c r="S11" s="14">
        <f t="shared" ref="S11:T11" si="40">S9-S10</f>
        <v>8896</v>
      </c>
      <c r="T11" s="14">
        <f t="shared" si="40"/>
        <v>5139</v>
      </c>
      <c r="U11" s="14">
        <f t="shared" ref="U11:V11" si="41">U9-U10</f>
        <v>2936</v>
      </c>
      <c r="V11" s="14">
        <f t="shared" si="41"/>
        <v>5072</v>
      </c>
      <c r="W11" s="14">
        <f t="shared" ref="W11:X11" si="42">W9-W10</f>
        <v>6452</v>
      </c>
      <c r="X11" s="14">
        <f t="shared" si="42"/>
        <v>5446</v>
      </c>
      <c r="Y11" s="14">
        <f t="shared" ref="Y11" si="43">Y9-Y10</f>
        <v>5802</v>
      </c>
      <c r="Z11" s="14">
        <f t="shared" ref="Z11" si="44">Z9-Z10</f>
        <v>5494</v>
      </c>
      <c r="AA11" s="14">
        <f t="shared" ref="AA11:AD11" si="45">AA9-AA10</f>
        <v>5181</v>
      </c>
      <c r="AB11" s="14">
        <f t="shared" si="45"/>
        <v>4986</v>
      </c>
      <c r="AC11" s="14">
        <f t="shared" si="45"/>
        <v>2356</v>
      </c>
      <c r="AD11" s="14">
        <f t="shared" si="45"/>
        <v>3796.8199999999997</v>
      </c>
      <c r="AE11" s="14"/>
      <c r="AF11" s="14"/>
      <c r="AG11" s="14"/>
      <c r="AH11" s="14"/>
      <c r="AI11" s="3"/>
      <c r="AJ11" s="14">
        <f>AJ9-AJ10</f>
        <v>15643</v>
      </c>
      <c r="AK11" s="14">
        <f>AK9-AK10</f>
        <v>18356</v>
      </c>
      <c r="AL11" s="14">
        <f>AL9-AL10</f>
        <v>11666</v>
      </c>
      <c r="AM11" s="14">
        <f>AM9-AM10</f>
        <v>20126</v>
      </c>
      <c r="AN11" s="14">
        <f t="shared" ref="AN11:AV11" si="46">AN9-AN10</f>
        <v>22043</v>
      </c>
      <c r="AO11" s="14">
        <f t="shared" si="46"/>
        <v>23194</v>
      </c>
      <c r="AP11" s="14">
        <f t="shared" si="46"/>
        <v>16805</v>
      </c>
      <c r="AQ11" s="14">
        <f t="shared" si="46"/>
        <v>19110.191600000002</v>
      </c>
      <c r="AR11" s="14">
        <f t="shared" si="46"/>
        <v>19301.293515999998</v>
      </c>
      <c r="AS11" s="14">
        <f t="shared" si="46"/>
        <v>19494.306451159995</v>
      </c>
      <c r="AT11" s="14">
        <f t="shared" si="46"/>
        <v>19689.249515671596</v>
      </c>
      <c r="AU11" s="14">
        <f t="shared" si="46"/>
        <v>19886.142010828313</v>
      </c>
      <c r="AV11" s="14">
        <f t="shared" si="46"/>
        <v>20085.003430936602</v>
      </c>
      <c r="AW11" s="14">
        <f t="shared" ref="AW11:BA11" si="47">AW9-AW10</f>
        <v>20285.853465245957</v>
      </c>
      <c r="AX11" s="14">
        <f t="shared" si="47"/>
        <v>20488.711999898416</v>
      </c>
      <c r="AY11" s="14">
        <f t="shared" si="47"/>
        <v>20693.599119897412</v>
      </c>
      <c r="AZ11" s="14">
        <f t="shared" si="47"/>
        <v>20900.535111096378</v>
      </c>
      <c r="BA11" s="14">
        <f t="shared" si="47"/>
        <v>21109.540462207344</v>
      </c>
    </row>
    <row r="12" spans="2:158" x14ac:dyDescent="0.3">
      <c r="B12" s="1" t="s">
        <v>19</v>
      </c>
      <c r="C12" s="6">
        <v>1178</v>
      </c>
      <c r="D12" s="6">
        <v>1182</v>
      </c>
      <c r="E12" s="6">
        <v>782</v>
      </c>
      <c r="F12" s="6">
        <f>3489-E12-D12-C12</f>
        <v>347</v>
      </c>
      <c r="G12" s="6">
        <v>1018</v>
      </c>
      <c r="H12" s="6">
        <v>1372</v>
      </c>
      <c r="I12" s="6">
        <v>1094</v>
      </c>
      <c r="J12" s="6">
        <f>4326-I12-H12-G12</f>
        <v>842</v>
      </c>
      <c r="K12" s="6">
        <v>165</v>
      </c>
      <c r="L12" s="6">
        <v>-498</v>
      </c>
      <c r="M12" s="6">
        <v>856</v>
      </c>
      <c r="N12" s="6">
        <f>AL12-M12-L12-K12</f>
        <v>2320</v>
      </c>
      <c r="O12" s="6">
        <v>1049</v>
      </c>
      <c r="P12" s="6">
        <v>1650</v>
      </c>
      <c r="Q12" s="6">
        <v>176</v>
      </c>
      <c r="R12" s="6">
        <f>AM12-O12-P12-Q12</f>
        <v>1823</v>
      </c>
      <c r="S12" s="6">
        <v>2170</v>
      </c>
      <c r="T12" s="6">
        <v>1226</v>
      </c>
      <c r="U12" s="6">
        <v>803</v>
      </c>
      <c r="V12" s="6">
        <f>AN12-S12-T12-U12</f>
        <v>2009</v>
      </c>
      <c r="W12" s="6">
        <v>1723</v>
      </c>
      <c r="X12" s="6">
        <v>1655</v>
      </c>
      <c r="Y12" s="6">
        <v>1455</v>
      </c>
      <c r="Z12" s="6">
        <f>AO12-W12-X12-Y12</f>
        <v>433</v>
      </c>
      <c r="AA12" s="6">
        <v>1471</v>
      </c>
      <c r="AB12" s="6">
        <v>1355</v>
      </c>
      <c r="AC12" s="6">
        <v>780</v>
      </c>
      <c r="AD12" s="6">
        <f t="shared" ref="AD12:AD13" si="48">AP12-AC12-AB12-AA12</f>
        <v>805</v>
      </c>
      <c r="AE12" s="6"/>
      <c r="AF12" s="6"/>
      <c r="AG12" s="6"/>
      <c r="AH12" s="6"/>
      <c r="AJ12" s="6">
        <f>SUM(C12:F12)</f>
        <v>3489</v>
      </c>
      <c r="AK12" s="6">
        <f>SUM(G12:J12)</f>
        <v>4326</v>
      </c>
      <c r="AL12" s="6">
        <v>2843</v>
      </c>
      <c r="AM12" s="6">
        <v>4698</v>
      </c>
      <c r="AN12" s="6">
        <v>6208</v>
      </c>
      <c r="AO12" s="6">
        <v>5266</v>
      </c>
      <c r="AP12" s="6">
        <v>4411</v>
      </c>
      <c r="AQ12" s="6">
        <f t="shared" ref="AQ12:AV12" si="49">AQ11*0.24</f>
        <v>4586.445984</v>
      </c>
      <c r="AR12" s="6">
        <f t="shared" si="49"/>
        <v>4632.3104438399996</v>
      </c>
      <c r="AS12" s="6">
        <f t="shared" si="49"/>
        <v>4678.6335482783988</v>
      </c>
      <c r="AT12" s="6">
        <f t="shared" si="49"/>
        <v>4725.419883761183</v>
      </c>
      <c r="AU12" s="6">
        <f t="shared" si="49"/>
        <v>4772.6740825987945</v>
      </c>
      <c r="AV12" s="6">
        <f t="shared" si="49"/>
        <v>4820.400823424784</v>
      </c>
      <c r="AW12" s="6">
        <f t="shared" ref="AW12:BA12" si="50">AW11*0.24</f>
        <v>4868.6048316590295</v>
      </c>
      <c r="AX12" s="6">
        <f t="shared" si="50"/>
        <v>4917.2908799756196</v>
      </c>
      <c r="AY12" s="6">
        <f t="shared" si="50"/>
        <v>4966.4637887753788</v>
      </c>
      <c r="AZ12" s="6">
        <f t="shared" si="50"/>
        <v>5016.128426663131</v>
      </c>
      <c r="BA12" s="6">
        <f t="shared" si="50"/>
        <v>5066.2897109297619</v>
      </c>
    </row>
    <row r="13" spans="2:158" s="3" customFormat="1" x14ac:dyDescent="0.3">
      <c r="B13" s="1" t="s">
        <v>29</v>
      </c>
      <c r="C13" s="6">
        <v>78</v>
      </c>
      <c r="D13" s="6">
        <f>79+3</f>
        <v>82</v>
      </c>
      <c r="E13" s="6">
        <f>5+91</f>
        <v>96</v>
      </c>
      <c r="F13" s="6">
        <f>17+309-E13-D13-C13</f>
        <v>70</v>
      </c>
      <c r="G13" s="6">
        <f>7+134</f>
        <v>141</v>
      </c>
      <c r="H13" s="6">
        <f>17+134</f>
        <v>151</v>
      </c>
      <c r="I13" s="6">
        <f>61+136</f>
        <v>197</v>
      </c>
      <c r="J13" s="6">
        <f>143+540-I13-H13-G13</f>
        <v>194</v>
      </c>
      <c r="K13" s="6">
        <f>-6+117</f>
        <v>111</v>
      </c>
      <c r="L13" s="6">
        <f>-51+122</f>
        <v>71</v>
      </c>
      <c r="M13" s="6">
        <f>21+147</f>
        <v>168</v>
      </c>
      <c r="N13" s="6">
        <f>AL13-M13-L13-K13</f>
        <v>140</v>
      </c>
      <c r="O13" s="6">
        <f>35+136</f>
        <v>171</v>
      </c>
      <c r="P13" s="6">
        <f>46+134</f>
        <v>180</v>
      </c>
      <c r="Q13" s="6">
        <f>7+135</f>
        <v>142</v>
      </c>
      <c r="R13" s="6">
        <f>AM13-O13-P13-Q13</f>
        <v>92</v>
      </c>
      <c r="S13" s="6">
        <f>40+129</f>
        <v>169</v>
      </c>
      <c r="T13" s="6">
        <f>23+150</f>
        <v>173</v>
      </c>
      <c r="U13" s="6">
        <f>25+151</f>
        <v>176</v>
      </c>
      <c r="V13" s="6">
        <f>AN13-S13-T13-U13</f>
        <v>451</v>
      </c>
      <c r="W13" s="6">
        <f>138+382</f>
        <v>520</v>
      </c>
      <c r="X13" s="6">
        <f>402+140</f>
        <v>542</v>
      </c>
      <c r="Y13" s="6">
        <f>314+143</f>
        <v>457</v>
      </c>
      <c r="Z13" s="6">
        <f>AO13-W13-X13-Y13</f>
        <v>396</v>
      </c>
      <c r="AA13" s="6">
        <f>281+163</f>
        <v>444</v>
      </c>
      <c r="AB13" s="6">
        <f>361+158</f>
        <v>519</v>
      </c>
      <c r="AC13" s="6">
        <f>210+155</f>
        <v>365</v>
      </c>
      <c r="AD13" s="6">
        <f t="shared" si="48"/>
        <v>345</v>
      </c>
      <c r="AE13" s="6"/>
      <c r="AF13" s="6"/>
      <c r="AG13" s="6"/>
      <c r="AH13" s="6"/>
      <c r="AI13" s="1"/>
      <c r="AJ13" s="6">
        <f>SUM(C13:F13)</f>
        <v>326</v>
      </c>
      <c r="AK13" s="6">
        <f>SUM(G13:J13)</f>
        <v>683</v>
      </c>
      <c r="AL13" s="6">
        <f>-43+533</f>
        <v>490</v>
      </c>
      <c r="AM13" s="6">
        <f>46+539</f>
        <v>585</v>
      </c>
      <c r="AN13" s="6">
        <f>393+576</f>
        <v>969</v>
      </c>
      <c r="AO13" s="6">
        <f>1329+586</f>
        <v>1915</v>
      </c>
      <c r="AP13" s="6">
        <f>1043+630</f>
        <v>1673</v>
      </c>
      <c r="AQ13" s="6">
        <f>AQ3*0.005</f>
        <v>1639.5128</v>
      </c>
      <c r="AR13" s="6">
        <f t="shared" ref="AR13:BA13" si="51">AR3*0.005</f>
        <v>1655.9079280000001</v>
      </c>
      <c r="AS13" s="6">
        <f t="shared" si="51"/>
        <v>1672.46700728</v>
      </c>
      <c r="AT13" s="6">
        <f t="shared" si="51"/>
        <v>1689.1916773528001</v>
      </c>
      <c r="AU13" s="6">
        <f t="shared" si="51"/>
        <v>1706.0835941263281</v>
      </c>
      <c r="AV13" s="6">
        <f t="shared" si="51"/>
        <v>1723.1444300675914</v>
      </c>
      <c r="AW13" s="6">
        <f t="shared" si="51"/>
        <v>1740.3758743682672</v>
      </c>
      <c r="AX13" s="6">
        <f t="shared" si="51"/>
        <v>1757.77963311195</v>
      </c>
      <c r="AY13" s="6">
        <f t="shared" si="51"/>
        <v>1775.3574294430696</v>
      </c>
      <c r="AZ13" s="6">
        <f t="shared" si="51"/>
        <v>1793.1110037375004</v>
      </c>
      <c r="BA13" s="6">
        <f t="shared" si="51"/>
        <v>1811.0421137748751</v>
      </c>
    </row>
    <row r="14" spans="2:158" x14ac:dyDescent="0.3">
      <c r="B14" s="3" t="s">
        <v>20</v>
      </c>
      <c r="C14" s="14">
        <f t="shared" ref="C14:Q14" si="52">C11-C12-C13</f>
        <v>3222</v>
      </c>
      <c r="D14" s="14">
        <f t="shared" si="52"/>
        <v>3232</v>
      </c>
      <c r="E14" s="14">
        <f t="shared" si="52"/>
        <v>2668</v>
      </c>
      <c r="F14" s="14">
        <f t="shared" si="52"/>
        <v>2706</v>
      </c>
      <c r="G14" s="14">
        <f t="shared" si="52"/>
        <v>2912</v>
      </c>
      <c r="H14" s="14">
        <f t="shared" si="52"/>
        <v>3963</v>
      </c>
      <c r="I14" s="14">
        <f t="shared" si="52"/>
        <v>3790</v>
      </c>
      <c r="J14" s="14">
        <f t="shared" si="52"/>
        <v>2682</v>
      </c>
      <c r="K14" s="14">
        <f t="shared" si="52"/>
        <v>406</v>
      </c>
      <c r="L14" s="14">
        <f t="shared" si="52"/>
        <v>-1607</v>
      </c>
      <c r="M14" s="14">
        <f t="shared" si="52"/>
        <v>2582</v>
      </c>
      <c r="N14" s="14">
        <f t="shared" si="52"/>
        <v>6952</v>
      </c>
      <c r="O14" s="14">
        <f t="shared" si="52"/>
        <v>3244</v>
      </c>
      <c r="P14" s="14">
        <f t="shared" si="52"/>
        <v>4862</v>
      </c>
      <c r="Q14" s="14">
        <f t="shared" si="52"/>
        <v>2762</v>
      </c>
      <c r="R14" s="14">
        <f t="shared" ref="R14" si="53">R11-R12-R13</f>
        <v>3975</v>
      </c>
      <c r="S14" s="14">
        <f t="shared" ref="S14:T14" si="54">S11-S12-S13</f>
        <v>6557</v>
      </c>
      <c r="T14" s="14">
        <f t="shared" si="54"/>
        <v>3740</v>
      </c>
      <c r="U14" s="14">
        <f t="shared" ref="U14:V14" si="55">U11-U12-U13</f>
        <v>1957</v>
      </c>
      <c r="V14" s="14">
        <f t="shared" si="55"/>
        <v>2612</v>
      </c>
      <c r="W14" s="14">
        <f t="shared" ref="W14:X14" si="56">W11-W12-W13</f>
        <v>4209</v>
      </c>
      <c r="X14" s="14">
        <f t="shared" si="56"/>
        <v>3249</v>
      </c>
      <c r="Y14" s="14">
        <f t="shared" ref="Y14" si="57">Y11-Y12-Y13</f>
        <v>3890</v>
      </c>
      <c r="Z14" s="14">
        <f t="shared" ref="Z14" si="58">Z11-Z12-Z13</f>
        <v>4665</v>
      </c>
      <c r="AA14" s="14">
        <f t="shared" ref="AA14:AD14" si="59">AA11-AA12-AA13</f>
        <v>3266</v>
      </c>
      <c r="AB14" s="14">
        <f t="shared" si="59"/>
        <v>3112</v>
      </c>
      <c r="AC14" s="14">
        <f t="shared" si="59"/>
        <v>1211</v>
      </c>
      <c r="AD14" s="14">
        <f t="shared" si="59"/>
        <v>2646.8199999999997</v>
      </c>
      <c r="AE14" s="14"/>
      <c r="AF14" s="14"/>
      <c r="AG14" s="14"/>
      <c r="AH14" s="14"/>
      <c r="AI14" s="3"/>
      <c r="AJ14" s="14">
        <f>AJ11-AJ12-AJ13</f>
        <v>11828</v>
      </c>
      <c r="AK14" s="14">
        <f>AK11-AK12-AK13</f>
        <v>13347</v>
      </c>
      <c r="AL14" s="14">
        <f>AL11-AL12-AL13</f>
        <v>8333</v>
      </c>
      <c r="AM14" s="14">
        <f>AM11-AM12-AM13</f>
        <v>14843</v>
      </c>
      <c r="AN14" s="14">
        <f t="shared" ref="AN14:AV14" si="60">AN11-AN12-AN13</f>
        <v>14866</v>
      </c>
      <c r="AO14" s="14">
        <f t="shared" si="60"/>
        <v>16013</v>
      </c>
      <c r="AP14" s="14">
        <f t="shared" si="60"/>
        <v>10721</v>
      </c>
      <c r="AQ14" s="14">
        <f t="shared" si="60"/>
        <v>12884.232816000002</v>
      </c>
      <c r="AR14" s="14">
        <f t="shared" si="60"/>
        <v>13013.075144159997</v>
      </c>
      <c r="AS14" s="14">
        <f t="shared" si="60"/>
        <v>13143.205895601597</v>
      </c>
      <c r="AT14" s="14">
        <f t="shared" si="60"/>
        <v>13274.637954557613</v>
      </c>
      <c r="AU14" s="14">
        <f t="shared" si="60"/>
        <v>13407.38433410319</v>
      </c>
      <c r="AV14" s="14">
        <f t="shared" si="60"/>
        <v>13541.458177444225</v>
      </c>
      <c r="AW14" s="14">
        <f t="shared" ref="AW14:BA14" si="61">AW11-AW12-AW13</f>
        <v>13676.872759218661</v>
      </c>
      <c r="AX14" s="14">
        <f t="shared" si="61"/>
        <v>13813.641486810848</v>
      </c>
      <c r="AY14" s="14">
        <f t="shared" si="61"/>
        <v>13951.777901678965</v>
      </c>
      <c r="AZ14" s="14">
        <f t="shared" si="61"/>
        <v>14091.295680695748</v>
      </c>
      <c r="BA14" s="14">
        <f t="shared" si="61"/>
        <v>14232.208637502707</v>
      </c>
      <c r="BB14" s="3">
        <f>BA14*(1+$BD$21)</f>
        <v>14089.88655112768</v>
      </c>
      <c r="BC14" s="3">
        <f t="shared" ref="BC14:DN14" si="62">BB14*(1+$BD$21)</f>
        <v>13948.987685616403</v>
      </c>
      <c r="BD14" s="3">
        <f t="shared" si="62"/>
        <v>13809.497808760239</v>
      </c>
      <c r="BE14" s="3">
        <f t="shared" si="62"/>
        <v>13671.402830672638</v>
      </c>
      <c r="BF14" s="3">
        <f t="shared" si="62"/>
        <v>13534.688802365912</v>
      </c>
      <c r="BG14" s="3">
        <f t="shared" si="62"/>
        <v>13399.341914342252</v>
      </c>
      <c r="BH14" s="3">
        <f t="shared" si="62"/>
        <v>13265.34849519883</v>
      </c>
      <c r="BI14" s="3">
        <f t="shared" si="62"/>
        <v>13132.695010246842</v>
      </c>
      <c r="BJ14" s="3">
        <f t="shared" si="62"/>
        <v>13001.368060144374</v>
      </c>
      <c r="BK14" s="3">
        <f t="shared" si="62"/>
        <v>12871.35437954293</v>
      </c>
      <c r="BL14" s="3">
        <f t="shared" si="62"/>
        <v>12742.640835747501</v>
      </c>
      <c r="BM14" s="3">
        <f t="shared" si="62"/>
        <v>12615.214427390027</v>
      </c>
      <c r="BN14" s="3">
        <f t="shared" si="62"/>
        <v>12489.062283116125</v>
      </c>
      <c r="BO14" s="3">
        <f t="shared" si="62"/>
        <v>12364.171660284965</v>
      </c>
      <c r="BP14" s="3">
        <f t="shared" si="62"/>
        <v>12240.529943682115</v>
      </c>
      <c r="BQ14" s="3">
        <f t="shared" si="62"/>
        <v>12118.124644245294</v>
      </c>
      <c r="BR14" s="3">
        <f t="shared" si="62"/>
        <v>11996.943397802841</v>
      </c>
      <c r="BS14" s="3">
        <f t="shared" si="62"/>
        <v>11876.973963824812</v>
      </c>
      <c r="BT14" s="3">
        <f t="shared" si="62"/>
        <v>11758.204224186564</v>
      </c>
      <c r="BU14" s="3">
        <f t="shared" si="62"/>
        <v>11640.622181944698</v>
      </c>
      <c r="BV14" s="3">
        <f t="shared" si="62"/>
        <v>11524.215960125252</v>
      </c>
      <c r="BW14" s="3">
        <f t="shared" si="62"/>
        <v>11408.973800524</v>
      </c>
      <c r="BX14" s="3">
        <f t="shared" si="62"/>
        <v>11294.88406251876</v>
      </c>
      <c r="BY14" s="3">
        <f t="shared" si="62"/>
        <v>11181.935221893573</v>
      </c>
      <c r="BZ14" s="3">
        <f t="shared" si="62"/>
        <v>11070.115869674637</v>
      </c>
      <c r="CA14" s="3">
        <f t="shared" si="62"/>
        <v>10959.41471097789</v>
      </c>
      <c r="CB14" s="3">
        <f t="shared" si="62"/>
        <v>10849.82056386811</v>
      </c>
      <c r="CC14" s="3">
        <f t="shared" si="62"/>
        <v>10741.322358229429</v>
      </c>
      <c r="CD14" s="3">
        <f t="shared" si="62"/>
        <v>10633.909134647134</v>
      </c>
      <c r="CE14" s="3">
        <f t="shared" si="62"/>
        <v>10527.570043300662</v>
      </c>
      <c r="CF14" s="3">
        <f t="shared" si="62"/>
        <v>10422.294342867655</v>
      </c>
      <c r="CG14" s="3">
        <f t="shared" si="62"/>
        <v>10318.071399438979</v>
      </c>
      <c r="CH14" s="3">
        <f t="shared" si="62"/>
        <v>10214.890685444589</v>
      </c>
      <c r="CI14" s="3">
        <f t="shared" si="62"/>
        <v>10112.741778590143</v>
      </c>
      <c r="CJ14" s="3">
        <f t="shared" si="62"/>
        <v>10011.614360804242</v>
      </c>
      <c r="CK14" s="3">
        <f t="shared" si="62"/>
        <v>9911.4982171962001</v>
      </c>
      <c r="CL14" s="3">
        <f t="shared" si="62"/>
        <v>9812.3832350242374</v>
      </c>
      <c r="CM14" s="3">
        <f t="shared" si="62"/>
        <v>9714.2594026739953</v>
      </c>
      <c r="CN14" s="3">
        <f t="shared" si="62"/>
        <v>9617.1168086472553</v>
      </c>
      <c r="CO14" s="3">
        <f t="shared" si="62"/>
        <v>9520.9456405607834</v>
      </c>
      <c r="CP14" s="3">
        <f t="shared" si="62"/>
        <v>9425.7361841551756</v>
      </c>
      <c r="CQ14" s="3">
        <f t="shared" si="62"/>
        <v>9331.4788223136238</v>
      </c>
      <c r="CR14" s="3">
        <f t="shared" si="62"/>
        <v>9238.1640340904869</v>
      </c>
      <c r="CS14" s="3">
        <f t="shared" si="62"/>
        <v>9145.7823937495814</v>
      </c>
      <c r="CT14" s="3">
        <f t="shared" si="62"/>
        <v>9054.3245698120863</v>
      </c>
      <c r="CU14" s="3">
        <f t="shared" si="62"/>
        <v>8963.7813241139647</v>
      </c>
      <c r="CV14" s="3">
        <f t="shared" si="62"/>
        <v>8874.1435108728256</v>
      </c>
      <c r="CW14" s="3">
        <f t="shared" si="62"/>
        <v>8785.4020757640974</v>
      </c>
      <c r="CX14" s="3">
        <f t="shared" si="62"/>
        <v>8697.5480550064567</v>
      </c>
      <c r="CY14" s="3">
        <f t="shared" si="62"/>
        <v>8610.5725744563915</v>
      </c>
      <c r="CZ14" s="3">
        <f t="shared" si="62"/>
        <v>8524.466848711827</v>
      </c>
      <c r="DA14" s="3">
        <f t="shared" si="62"/>
        <v>8439.2221802247095</v>
      </c>
      <c r="DB14" s="3">
        <f t="shared" si="62"/>
        <v>8354.8299584224624</v>
      </c>
      <c r="DC14" s="3">
        <f t="shared" si="62"/>
        <v>8271.2816588382375</v>
      </c>
      <c r="DD14" s="3">
        <f t="shared" si="62"/>
        <v>8188.5688422498552</v>
      </c>
      <c r="DE14" s="3">
        <f t="shared" si="62"/>
        <v>8106.6831538273564</v>
      </c>
      <c r="DF14" s="3">
        <f t="shared" si="62"/>
        <v>8025.6163222890827</v>
      </c>
      <c r="DG14" s="3">
        <f t="shared" si="62"/>
        <v>7945.360159066192</v>
      </c>
      <c r="DH14" s="3">
        <f t="shared" si="62"/>
        <v>7865.9065574755296</v>
      </c>
      <c r="DI14" s="3">
        <f t="shared" si="62"/>
        <v>7787.2474919007745</v>
      </c>
      <c r="DJ14" s="3">
        <f t="shared" si="62"/>
        <v>7709.3750169817667</v>
      </c>
      <c r="DK14" s="3">
        <f t="shared" si="62"/>
        <v>7632.2812668119486</v>
      </c>
      <c r="DL14" s="3">
        <f t="shared" si="62"/>
        <v>7555.9584541438289</v>
      </c>
      <c r="DM14" s="3">
        <f t="shared" si="62"/>
        <v>7480.3988696023907</v>
      </c>
      <c r="DN14" s="3">
        <f t="shared" si="62"/>
        <v>7405.5948809063666</v>
      </c>
      <c r="DO14" s="3">
        <f t="shared" ref="DO14:FB14" si="63">DN14*(1+$BD$21)</f>
        <v>7331.5389320973027</v>
      </c>
      <c r="DP14" s="3">
        <f t="shared" si="63"/>
        <v>7258.2235427763299</v>
      </c>
      <c r="DQ14" s="3">
        <f t="shared" si="63"/>
        <v>7185.6413073485664</v>
      </c>
      <c r="DR14" s="3">
        <f t="shared" si="63"/>
        <v>7113.7848942750807</v>
      </c>
      <c r="DS14" s="3">
        <f t="shared" si="63"/>
        <v>7042.64704533233</v>
      </c>
      <c r="DT14" s="3">
        <f t="shared" si="63"/>
        <v>6972.2205748790066</v>
      </c>
      <c r="DU14" s="3">
        <f t="shared" si="63"/>
        <v>6902.4983691302168</v>
      </c>
      <c r="DV14" s="3">
        <f t="shared" si="63"/>
        <v>6833.4733854389142</v>
      </c>
      <c r="DW14" s="3">
        <f t="shared" si="63"/>
        <v>6765.1386515845252</v>
      </c>
      <c r="DX14" s="3">
        <f t="shared" si="63"/>
        <v>6697.4872650686802</v>
      </c>
      <c r="DY14" s="3">
        <f t="shared" si="63"/>
        <v>6630.5123924179934</v>
      </c>
      <c r="DZ14" s="3">
        <f t="shared" si="63"/>
        <v>6564.207268493813</v>
      </c>
      <c r="EA14" s="3">
        <f t="shared" si="63"/>
        <v>6498.5651958088747</v>
      </c>
      <c r="EB14" s="3">
        <f t="shared" si="63"/>
        <v>6433.5795438507857</v>
      </c>
      <c r="EC14" s="3">
        <f t="shared" si="63"/>
        <v>6369.2437484122775</v>
      </c>
      <c r="ED14" s="3">
        <f t="shared" si="63"/>
        <v>6305.5513109281546</v>
      </c>
      <c r="EE14" s="3">
        <f t="shared" si="63"/>
        <v>6242.4957978188731</v>
      </c>
      <c r="EF14" s="3">
        <f t="shared" si="63"/>
        <v>6180.0708398406841</v>
      </c>
      <c r="EG14" s="3">
        <f t="shared" si="63"/>
        <v>6118.2701314422775</v>
      </c>
      <c r="EH14" s="3">
        <f t="shared" si="63"/>
        <v>6057.0874301278545</v>
      </c>
      <c r="EI14" s="3">
        <f t="shared" si="63"/>
        <v>5996.5165558265762</v>
      </c>
      <c r="EJ14" s="3">
        <f t="shared" si="63"/>
        <v>5936.5513902683106</v>
      </c>
      <c r="EK14" s="3">
        <f t="shared" si="63"/>
        <v>5877.1858763656273</v>
      </c>
      <c r="EL14" s="3">
        <f t="shared" si="63"/>
        <v>5818.414017601971</v>
      </c>
      <c r="EM14" s="3">
        <f t="shared" si="63"/>
        <v>5760.2298774259516</v>
      </c>
      <c r="EN14" s="3">
        <f t="shared" si="63"/>
        <v>5702.6275786516917</v>
      </c>
      <c r="EO14" s="3">
        <f t="shared" si="63"/>
        <v>5645.6013028651751</v>
      </c>
      <c r="EP14" s="3">
        <f t="shared" si="63"/>
        <v>5589.1452898365233</v>
      </c>
      <c r="EQ14" s="3">
        <f t="shared" si="63"/>
        <v>5533.2538369381582</v>
      </c>
      <c r="ER14" s="3">
        <f t="shared" si="63"/>
        <v>5477.9212985687764</v>
      </c>
      <c r="ES14" s="3">
        <f t="shared" si="63"/>
        <v>5423.1420855830884</v>
      </c>
      <c r="ET14" s="3">
        <f t="shared" si="63"/>
        <v>5368.9106647272574</v>
      </c>
      <c r="EU14" s="3">
        <f t="shared" si="63"/>
        <v>5315.2215580799848</v>
      </c>
      <c r="EV14" s="3">
        <f t="shared" si="63"/>
        <v>5262.069342499185</v>
      </c>
      <c r="EW14" s="3">
        <f t="shared" si="63"/>
        <v>5209.4486490741929</v>
      </c>
      <c r="EX14" s="3">
        <f t="shared" si="63"/>
        <v>5157.3541625834505</v>
      </c>
      <c r="EY14" s="3">
        <f t="shared" si="63"/>
        <v>5105.7806209576156</v>
      </c>
      <c r="EZ14" s="3">
        <f t="shared" si="63"/>
        <v>5054.7228147480391</v>
      </c>
      <c r="FA14" s="3">
        <f t="shared" si="63"/>
        <v>5004.1755866005587</v>
      </c>
      <c r="FB14" s="3">
        <f t="shared" si="63"/>
        <v>4954.1338307345532</v>
      </c>
    </row>
    <row r="15" spans="2:158" s="3" customFormat="1" x14ac:dyDescent="0.3">
      <c r="B15" s="1" t="s">
        <v>21</v>
      </c>
      <c r="C15" s="6">
        <v>501.3</v>
      </c>
      <c r="D15" s="6">
        <v>501.3</v>
      </c>
      <c r="E15" s="6">
        <v>501.3</v>
      </c>
      <c r="F15" s="6">
        <v>501.3</v>
      </c>
      <c r="G15" s="6">
        <v>501.3</v>
      </c>
      <c r="H15" s="6">
        <v>501.3</v>
      </c>
      <c r="I15" s="6">
        <v>501.3</v>
      </c>
      <c r="J15" s="6">
        <v>501.3</v>
      </c>
      <c r="K15" s="6">
        <v>501.3</v>
      </c>
      <c r="L15" s="6">
        <v>501.3</v>
      </c>
      <c r="M15" s="6">
        <v>501.3</v>
      </c>
      <c r="N15" s="6">
        <v>501.3</v>
      </c>
      <c r="O15" s="6">
        <v>501.3</v>
      </c>
      <c r="P15" s="6">
        <v>501.3</v>
      </c>
      <c r="Q15" s="6">
        <v>501.3</v>
      </c>
      <c r="R15" s="6">
        <v>501.3</v>
      </c>
      <c r="S15" s="6">
        <v>501.3</v>
      </c>
      <c r="T15" s="6">
        <v>501.3</v>
      </c>
      <c r="U15" s="6">
        <v>501.3</v>
      </c>
      <c r="V15" s="6">
        <v>501.3</v>
      </c>
      <c r="W15" s="6">
        <v>501.3</v>
      </c>
      <c r="X15" s="6">
        <v>501.3</v>
      </c>
      <c r="Y15" s="6">
        <v>501.3</v>
      </c>
      <c r="Z15" s="6">
        <v>501.3</v>
      </c>
      <c r="AA15" s="6">
        <v>501.3</v>
      </c>
      <c r="AB15" s="6">
        <v>501.3</v>
      </c>
      <c r="AC15" s="6">
        <v>501.3</v>
      </c>
      <c r="AD15" s="6">
        <v>501.3</v>
      </c>
      <c r="AE15" s="6"/>
      <c r="AF15" s="6"/>
      <c r="AG15" s="6"/>
      <c r="AH15" s="6"/>
      <c r="AI15" s="1"/>
      <c r="AJ15" s="6">
        <v>501.3</v>
      </c>
      <c r="AK15" s="6">
        <v>501.3</v>
      </c>
      <c r="AL15" s="6">
        <v>501.3</v>
      </c>
      <c r="AM15" s="6">
        <v>501.3</v>
      </c>
      <c r="AN15" s="6">
        <v>501.3</v>
      </c>
      <c r="AO15" s="6">
        <v>501.3</v>
      </c>
      <c r="AP15" s="6">
        <f t="shared" ref="AP15:BA15" si="64">295.1+206.2</f>
        <v>501.3</v>
      </c>
      <c r="AQ15" s="6">
        <f t="shared" si="64"/>
        <v>501.3</v>
      </c>
      <c r="AR15" s="6">
        <f t="shared" si="64"/>
        <v>501.3</v>
      </c>
      <c r="AS15" s="6">
        <f t="shared" si="64"/>
        <v>501.3</v>
      </c>
      <c r="AT15" s="6">
        <f t="shared" si="64"/>
        <v>501.3</v>
      </c>
      <c r="AU15" s="6">
        <f t="shared" si="64"/>
        <v>501.3</v>
      </c>
      <c r="AV15" s="6">
        <f t="shared" si="64"/>
        <v>501.3</v>
      </c>
      <c r="AW15" s="6">
        <f t="shared" si="64"/>
        <v>501.3</v>
      </c>
      <c r="AX15" s="6">
        <f t="shared" si="64"/>
        <v>501.3</v>
      </c>
      <c r="AY15" s="6">
        <f t="shared" si="64"/>
        <v>501.3</v>
      </c>
      <c r="AZ15" s="6">
        <f t="shared" si="64"/>
        <v>501.3</v>
      </c>
      <c r="BA15" s="6">
        <f t="shared" si="64"/>
        <v>501.3</v>
      </c>
    </row>
    <row r="16" spans="2:158" x14ac:dyDescent="0.3">
      <c r="B16" s="3" t="s">
        <v>22</v>
      </c>
      <c r="C16" s="15">
        <f t="shared" ref="C16:Q16" si="65">C14/C15</f>
        <v>6.427289048473968</v>
      </c>
      <c r="D16" s="15">
        <f t="shared" si="65"/>
        <v>6.4472371833233595</v>
      </c>
      <c r="E16" s="15">
        <f t="shared" si="65"/>
        <v>5.3221623778176737</v>
      </c>
      <c r="F16" s="15">
        <f t="shared" si="65"/>
        <v>5.3979652902453621</v>
      </c>
      <c r="G16" s="15">
        <f t="shared" si="65"/>
        <v>5.8088968681428286</v>
      </c>
      <c r="H16" s="15">
        <f t="shared" si="65"/>
        <v>7.9054458408138837</v>
      </c>
      <c r="I16" s="15">
        <f t="shared" si="65"/>
        <v>7.560343107919409</v>
      </c>
      <c r="J16" s="15">
        <f t="shared" si="65"/>
        <v>5.3500897666068221</v>
      </c>
      <c r="K16" s="15">
        <f t="shared" si="65"/>
        <v>0.80989427488529819</v>
      </c>
      <c r="L16" s="15">
        <f t="shared" si="65"/>
        <v>-3.205665270297227</v>
      </c>
      <c r="M16" s="15">
        <f t="shared" si="65"/>
        <v>5.1506084181129062</v>
      </c>
      <c r="N16" s="15">
        <f t="shared" si="65"/>
        <v>13.867943347297027</v>
      </c>
      <c r="O16" s="15">
        <f t="shared" si="65"/>
        <v>6.4711749451426286</v>
      </c>
      <c r="P16" s="15">
        <f t="shared" si="65"/>
        <v>9.6987831637741877</v>
      </c>
      <c r="Q16" s="15">
        <f t="shared" si="65"/>
        <v>5.5096748454019551</v>
      </c>
      <c r="R16" s="15">
        <f t="shared" ref="R16" si="66">R14/R15</f>
        <v>7.9293836026331537</v>
      </c>
      <c r="S16" s="15">
        <f t="shared" ref="S16:T16" si="67">S14/S15</f>
        <v>13.07999202074606</v>
      </c>
      <c r="T16" s="15">
        <f t="shared" si="67"/>
        <v>7.4606024336724515</v>
      </c>
      <c r="U16" s="15">
        <f t="shared" ref="U16:V16" si="68">U14/U15</f>
        <v>3.9038499900259325</v>
      </c>
      <c r="V16" s="15">
        <f t="shared" si="68"/>
        <v>5.2104528226610807</v>
      </c>
      <c r="W16" s="15">
        <f t="shared" ref="W16:X16" si="69">W14/W15</f>
        <v>8.3961699581089171</v>
      </c>
      <c r="X16" s="15">
        <f t="shared" si="69"/>
        <v>6.4811490125673252</v>
      </c>
      <c r="Y16" s="15">
        <f t="shared" ref="Y16" si="70">Y14/Y15</f>
        <v>7.759824456413325</v>
      </c>
      <c r="Z16" s="15">
        <f t="shared" ref="Z16" si="71">Z14/Z15</f>
        <v>9.305804907241173</v>
      </c>
      <c r="AA16" s="15">
        <f t="shared" ref="AA16:AD16" si="72">AA14/AA15</f>
        <v>6.5150608418112901</v>
      </c>
      <c r="AB16" s="15">
        <f t="shared" si="72"/>
        <v>6.2078595651306605</v>
      </c>
      <c r="AC16" s="15">
        <f t="shared" si="72"/>
        <v>2.4157191302613206</v>
      </c>
      <c r="AD16" s="15">
        <f t="shared" si="72"/>
        <v>5.279912228206662</v>
      </c>
      <c r="AE16" s="15"/>
      <c r="AF16" s="15"/>
      <c r="AG16" s="15"/>
      <c r="AH16" s="15"/>
      <c r="AI16" s="3"/>
      <c r="AJ16" s="15">
        <f>AJ14/AJ15</f>
        <v>23.594653899860361</v>
      </c>
      <c r="AK16" s="15">
        <f>AK14/AK15</f>
        <v>26.624775583482943</v>
      </c>
      <c r="AL16" s="15">
        <f>AL14/AL15</f>
        <v>16.622780769998005</v>
      </c>
      <c r="AM16" s="15">
        <f>AM14/AM15</f>
        <v>29.609016556951925</v>
      </c>
      <c r="AN16" s="15">
        <f t="shared" ref="AN16:AV16" si="73">AN14/AN15</f>
        <v>29.654897267105525</v>
      </c>
      <c r="AO16" s="15">
        <f t="shared" si="73"/>
        <v>31.94294833433074</v>
      </c>
      <c r="AP16" s="15">
        <f t="shared" si="73"/>
        <v>21.386395372032716</v>
      </c>
      <c r="AQ16" s="15">
        <f t="shared" si="73"/>
        <v>25.701641364452428</v>
      </c>
      <c r="AR16" s="15">
        <f t="shared" si="73"/>
        <v>25.958657778096942</v>
      </c>
      <c r="AS16" s="15">
        <f t="shared" si="73"/>
        <v>26.218244355877911</v>
      </c>
      <c r="AT16" s="15">
        <f t="shared" si="73"/>
        <v>26.480426799436689</v>
      </c>
      <c r="AU16" s="15">
        <f t="shared" si="73"/>
        <v>26.745231067431057</v>
      </c>
      <c r="AV16" s="15">
        <f t="shared" si="73"/>
        <v>27.012683378105375</v>
      </c>
      <c r="AW16" s="15">
        <f t="shared" ref="AW16:BA16" si="74">AW14/AW15</f>
        <v>27.282810211886417</v>
      </c>
      <c r="AX16" s="15">
        <f t="shared" si="74"/>
        <v>27.555638314005282</v>
      </c>
      <c r="AY16" s="15">
        <f t="shared" si="74"/>
        <v>27.831194697145349</v>
      </c>
      <c r="AZ16" s="15">
        <f t="shared" si="74"/>
        <v>28.109506644116792</v>
      </c>
      <c r="BA16" s="15">
        <f t="shared" si="74"/>
        <v>28.390601710557963</v>
      </c>
    </row>
    <row r="17" spans="2:56" x14ac:dyDescent="0.3">
      <c r="AL17" s="1"/>
    </row>
    <row r="18" spans="2:56" x14ac:dyDescent="0.3">
      <c r="B18" s="3" t="s">
        <v>30</v>
      </c>
      <c r="C18" s="16">
        <f t="shared" ref="C18:N18" si="75">C5/C3</f>
        <v>0.19871882942914063</v>
      </c>
      <c r="D18" s="16">
        <f t="shared" si="75"/>
        <v>0.21681466581628481</v>
      </c>
      <c r="E18" s="16">
        <f t="shared" si="75"/>
        <v>0.18507246376811595</v>
      </c>
      <c r="F18" s="16">
        <f t="shared" si="75"/>
        <v>0.18448883666274971</v>
      </c>
      <c r="G18" s="16">
        <f t="shared" si="75"/>
        <v>0.1947610477904419</v>
      </c>
      <c r="H18" s="16">
        <f t="shared" si="75"/>
        <v>0.2002761371481169</v>
      </c>
      <c r="I18" s="16">
        <f t="shared" si="75"/>
        <v>0.18948225333767502</v>
      </c>
      <c r="J18" s="16">
        <f t="shared" si="75"/>
        <v>0.19330455199575855</v>
      </c>
      <c r="K18" s="16">
        <f t="shared" si="75"/>
        <v>0.16765357648853851</v>
      </c>
      <c r="L18" s="16">
        <f t="shared" si="75"/>
        <v>8.9395267309377732E-2</v>
      </c>
      <c r="M18" s="16">
        <f t="shared" si="75"/>
        <v>0.17567180523965967</v>
      </c>
      <c r="N18" s="16">
        <f t="shared" si="75"/>
        <v>0.23172450629831304</v>
      </c>
      <c r="O18" s="16">
        <f t="shared" ref="O18:AD18" si="76">O5/O3</f>
        <v>0.19764011799410031</v>
      </c>
      <c r="P18" s="16">
        <f t="shared" si="76"/>
        <v>0.18606690146077601</v>
      </c>
      <c r="Q18" s="16">
        <f t="shared" si="76"/>
        <v>0.15671602466143225</v>
      </c>
      <c r="R18" s="16">
        <f t="shared" si="76"/>
        <v>0.21179245283018869</v>
      </c>
      <c r="S18" s="16">
        <f t="shared" si="76"/>
        <v>0.19106818399158459</v>
      </c>
      <c r="T18" s="16">
        <f t="shared" si="76"/>
        <v>0.20836029506923773</v>
      </c>
      <c r="U18" s="16">
        <f t="shared" si="76"/>
        <v>0.1792623599954746</v>
      </c>
      <c r="V18" s="16">
        <f t="shared" si="76"/>
        <v>0.17148291467173871</v>
      </c>
      <c r="W18" s="16">
        <f t="shared" si="76"/>
        <v>0.19938843539200504</v>
      </c>
      <c r="X18" s="16">
        <f t="shared" si="76"/>
        <v>0.19638016962490162</v>
      </c>
      <c r="Y18" s="16">
        <f t="shared" si="76"/>
        <v>0.17006785465153149</v>
      </c>
      <c r="Z18" s="16">
        <f t="shared" si="76"/>
        <v>0.19153036177192539</v>
      </c>
      <c r="AA18" s="16">
        <f t="shared" si="76"/>
        <v>0.17950994553477956</v>
      </c>
      <c r="AB18" s="16">
        <f t="shared" si="76"/>
        <v>0.18935912357959658</v>
      </c>
      <c r="AC18" s="16">
        <f t="shared" si="76"/>
        <v>0.16639058079971458</v>
      </c>
      <c r="AD18" s="16">
        <f t="shared" si="76"/>
        <v>0.19</v>
      </c>
      <c r="AE18" s="16"/>
      <c r="AF18" s="16"/>
      <c r="AG18" s="16"/>
      <c r="AH18" s="16"/>
      <c r="AJ18" s="16">
        <f t="shared" ref="AJ18:AV18" si="77">AJ5/AJ3</f>
        <v>0.19651980716475373</v>
      </c>
      <c r="AK18" s="16">
        <f t="shared" si="77"/>
        <v>0.19452009246651256</v>
      </c>
      <c r="AL18" s="16">
        <f t="shared" si="77"/>
        <v>0.17474112094183522</v>
      </c>
      <c r="AM18" s="16">
        <f t="shared" si="77"/>
        <v>0.18881294964028777</v>
      </c>
      <c r="AN18" s="16">
        <f t="shared" si="77"/>
        <v>0.18703801856520744</v>
      </c>
      <c r="AO18" s="16">
        <f t="shared" si="77"/>
        <v>0.18934231919673331</v>
      </c>
      <c r="AP18" s="16">
        <f t="shared" si="77"/>
        <v>0.18318466315115076</v>
      </c>
      <c r="AQ18" s="16">
        <f t="shared" si="77"/>
        <v>0.18</v>
      </c>
      <c r="AR18" s="16">
        <f t="shared" si="77"/>
        <v>0.18</v>
      </c>
      <c r="AS18" s="16">
        <f t="shared" si="77"/>
        <v>0.18</v>
      </c>
      <c r="AT18" s="16">
        <f t="shared" si="77"/>
        <v>0.18</v>
      </c>
      <c r="AU18" s="16">
        <f t="shared" si="77"/>
        <v>0.18</v>
      </c>
      <c r="AV18" s="16">
        <f t="shared" si="77"/>
        <v>0.18</v>
      </c>
      <c r="AW18" s="16">
        <f t="shared" ref="AW18:BA18" si="78">AW5/AW3</f>
        <v>0.18</v>
      </c>
      <c r="AX18" s="16">
        <f t="shared" si="78"/>
        <v>0.18</v>
      </c>
      <c r="AY18" s="16">
        <f t="shared" si="78"/>
        <v>0.18</v>
      </c>
      <c r="AZ18" s="16">
        <f t="shared" si="78"/>
        <v>0.18</v>
      </c>
      <c r="BA18" s="16">
        <f t="shared" si="78"/>
        <v>0.18</v>
      </c>
    </row>
    <row r="19" spans="2:56" x14ac:dyDescent="0.3">
      <c r="B19" s="3" t="s">
        <v>31</v>
      </c>
      <c r="C19" s="16">
        <f t="shared" ref="C19:N19" si="79">C9/C3</f>
        <v>7.2336333035652955E-2</v>
      </c>
      <c r="D19" s="16">
        <f t="shared" si="79"/>
        <v>6.4579960424536786E-2</v>
      </c>
      <c r="E19" s="16">
        <f t="shared" si="79"/>
        <v>4.9112318840579712E-2</v>
      </c>
      <c r="F19" s="16">
        <f t="shared" si="79"/>
        <v>4.974539757148453E-2</v>
      </c>
      <c r="G19" s="16">
        <f t="shared" si="79"/>
        <v>6.4453775911484365E-2</v>
      </c>
      <c r="H19" s="16">
        <f t="shared" si="79"/>
        <v>7.8683746260642784E-2</v>
      </c>
      <c r="I19" s="16">
        <f t="shared" si="79"/>
        <v>7.3949853467925764E-2</v>
      </c>
      <c r="J19" s="16">
        <f t="shared" si="79"/>
        <v>5.1821555707036282E-2</v>
      </c>
      <c r="K19" s="16">
        <f t="shared" si="79"/>
        <v>1.6420241944272895E-2</v>
      </c>
      <c r="L19" s="16">
        <f t="shared" si="79"/>
        <v>-5.8282208588957052E-2</v>
      </c>
      <c r="M19" s="16">
        <f t="shared" si="79"/>
        <v>5.3626484710639376E-2</v>
      </c>
      <c r="N19" s="16">
        <f t="shared" si="79"/>
        <v>0.11842905681093191</v>
      </c>
      <c r="O19" s="16">
        <f t="shared" ref="O19:AD19" si="80">O9/O3</f>
        <v>7.7161087597794026E-2</v>
      </c>
      <c r="P19" s="16">
        <f t="shared" si="80"/>
        <v>9.7305811897225564E-2</v>
      </c>
      <c r="Q19" s="16">
        <f t="shared" si="80"/>
        <v>4.5599058509423689E-2</v>
      </c>
      <c r="R19" s="16">
        <f t="shared" si="80"/>
        <v>8.3616352201257862E-2</v>
      </c>
      <c r="S19" s="16">
        <f t="shared" si="80"/>
        <v>0.13267030059609194</v>
      </c>
      <c r="T19" s="16">
        <f t="shared" si="80"/>
        <v>6.4765684540500121E-2</v>
      </c>
      <c r="U19" s="16">
        <f t="shared" si="80"/>
        <v>6.0371648376513182E-2</v>
      </c>
      <c r="V19" s="16">
        <f t="shared" si="80"/>
        <v>6.5940840821145139E-2</v>
      </c>
      <c r="W19" s="16">
        <f t="shared" si="80"/>
        <v>7.5408803380666162E-2</v>
      </c>
      <c r="X19" s="16">
        <f t="shared" si="80"/>
        <v>6.9948413045379035E-2</v>
      </c>
      <c r="Y19" s="16">
        <f t="shared" si="80"/>
        <v>6.2083835373200585E-2</v>
      </c>
      <c r="Z19" s="16">
        <f t="shared" si="80"/>
        <v>7.2664082035282518E-2</v>
      </c>
      <c r="AA19" s="16">
        <f t="shared" si="80"/>
        <v>6.079961834590053E-2</v>
      </c>
      <c r="AB19" s="16">
        <f t="shared" si="80"/>
        <v>6.556354167916581E-2</v>
      </c>
      <c r="AC19" s="16">
        <f t="shared" si="80"/>
        <v>3.6366879889905453E-2</v>
      </c>
      <c r="AD19" s="16">
        <f t="shared" si="80"/>
        <v>6.4876971320011897E-2</v>
      </c>
      <c r="AE19" s="16"/>
      <c r="AF19" s="16"/>
      <c r="AG19" s="16"/>
      <c r="AH19" s="16"/>
      <c r="AJ19" s="16">
        <f t="shared" ref="AJ19:AV19" si="81">AJ9/AJ3</f>
        <v>5.9020814164995397E-2</v>
      </c>
      <c r="AK19" s="16">
        <f t="shared" si="81"/>
        <v>6.7133221444630922E-2</v>
      </c>
      <c r="AL19" s="16">
        <f t="shared" si="81"/>
        <v>4.3408230290195797E-2</v>
      </c>
      <c r="AM19" s="16">
        <f t="shared" si="81"/>
        <v>7.7038369304556362E-2</v>
      </c>
      <c r="AN19" s="16">
        <f t="shared" si="81"/>
        <v>7.9231606692642675E-2</v>
      </c>
      <c r="AO19" s="16">
        <f t="shared" si="81"/>
        <v>7.0050017996549627E-2</v>
      </c>
      <c r="AP19" s="16">
        <f t="shared" si="81"/>
        <v>5.8708294317677788E-2</v>
      </c>
      <c r="AQ19" s="16">
        <f t="shared" si="81"/>
        <v>6.5225906135042075E-2</v>
      </c>
      <c r="AR19" s="16">
        <f t="shared" si="81"/>
        <v>6.5225906135042061E-2</v>
      </c>
      <c r="AS19" s="16">
        <f t="shared" si="81"/>
        <v>6.5225906135042061E-2</v>
      </c>
      <c r="AT19" s="16">
        <f t="shared" si="81"/>
        <v>6.5225906135042061E-2</v>
      </c>
      <c r="AU19" s="16">
        <f t="shared" si="81"/>
        <v>6.5225906135042075E-2</v>
      </c>
      <c r="AV19" s="16">
        <f t="shared" si="81"/>
        <v>6.5225906135042075E-2</v>
      </c>
      <c r="AW19" s="16">
        <f t="shared" ref="AW19:BA19" si="82">AW9/AW3</f>
        <v>6.5225906135042047E-2</v>
      </c>
      <c r="AX19" s="16">
        <f t="shared" si="82"/>
        <v>6.5225906135042047E-2</v>
      </c>
      <c r="AY19" s="16">
        <f t="shared" si="82"/>
        <v>6.5225906135042075E-2</v>
      </c>
      <c r="AZ19" s="16">
        <f t="shared" si="82"/>
        <v>6.5225906135042047E-2</v>
      </c>
      <c r="BA19" s="16">
        <f t="shared" si="82"/>
        <v>6.5225906135042061E-2</v>
      </c>
    </row>
    <row r="20" spans="2:56" x14ac:dyDescent="0.3">
      <c r="B20" s="1" t="s">
        <v>99</v>
      </c>
      <c r="C20" s="17">
        <f>C6/C3</f>
        <v>8.1730438964072269E-2</v>
      </c>
      <c r="D20" s="17">
        <f t="shared" ref="D20:AD20" si="83">D6/D3</f>
        <v>8.9698932116633143E-2</v>
      </c>
      <c r="E20" s="17">
        <f t="shared" si="83"/>
        <v>8.739130434782609E-2</v>
      </c>
      <c r="F20" s="17">
        <f t="shared" si="83"/>
        <v>8.8817077947512729E-2</v>
      </c>
      <c r="G20" s="17">
        <f t="shared" si="83"/>
        <v>8.2333533293341338E-2</v>
      </c>
      <c r="H20" s="17">
        <f t="shared" si="83"/>
        <v>7.7563856715502033E-2</v>
      </c>
      <c r="I20" s="17">
        <f t="shared" si="83"/>
        <v>8.2969716704656457E-2</v>
      </c>
      <c r="J20" s="17">
        <f t="shared" si="83"/>
        <v>8.9146406119821248E-2</v>
      </c>
      <c r="K20" s="17">
        <f t="shared" si="83"/>
        <v>8.1229338467686277E-2</v>
      </c>
      <c r="L20" s="17">
        <f t="shared" si="83"/>
        <v>9.4459051514266243E-2</v>
      </c>
      <c r="M20" s="17">
        <f t="shared" si="83"/>
        <v>7.5949793614691258E-2</v>
      </c>
      <c r="N20" s="17">
        <f t="shared" si="83"/>
        <v>8.230092434605854E-2</v>
      </c>
      <c r="O20" s="17">
        <f t="shared" si="83"/>
        <v>6.989867897909452E-2</v>
      </c>
      <c r="P20" s="17">
        <f t="shared" si="83"/>
        <v>6.9903258882796124E-2</v>
      </c>
      <c r="Q20" s="17">
        <f t="shared" si="83"/>
        <v>8.3855895733431704E-2</v>
      </c>
      <c r="R20" s="17">
        <f t="shared" si="83"/>
        <v>8.474842767295597E-2</v>
      </c>
      <c r="S20" s="17">
        <f t="shared" si="83"/>
        <v>6.8773708201842462E-2</v>
      </c>
      <c r="T20" s="17">
        <f t="shared" si="83"/>
        <v>6.847561940094618E-2</v>
      </c>
      <c r="U20" s="17">
        <f t="shared" si="83"/>
        <v>6.8390089376626315E-2</v>
      </c>
      <c r="V20" s="17">
        <f t="shared" si="83"/>
        <v>7.7746441923001244E-2</v>
      </c>
      <c r="W20" s="17">
        <f t="shared" si="83"/>
        <v>6.346623270951994E-2</v>
      </c>
      <c r="X20" s="17">
        <f t="shared" si="83"/>
        <v>6.482718994741378E-2</v>
      </c>
      <c r="Y20" s="17">
        <f t="shared" si="83"/>
        <v>6.7448791933540489E-2</v>
      </c>
      <c r="Z20" s="17">
        <f t="shared" si="83"/>
        <v>6.8775664701429193E-2</v>
      </c>
      <c r="AA20" s="17">
        <f t="shared" si="83"/>
        <v>6.7624335749592507E-2</v>
      </c>
      <c r="AB20" s="17">
        <f t="shared" si="83"/>
        <v>6.4903586556114182E-2</v>
      </c>
      <c r="AC20" s="17">
        <f t="shared" si="83"/>
        <v>7.0032365758556536E-2</v>
      </c>
      <c r="AD20" s="17">
        <f t="shared" si="83"/>
        <v>7.223786307766257E-2</v>
      </c>
      <c r="AE20" s="17"/>
      <c r="AF20" s="17"/>
      <c r="AG20" s="17"/>
      <c r="AH20" s="17"/>
      <c r="AJ20" s="17">
        <f t="shared" ref="AJ20:AV20" si="84">AJ6/AJ3</f>
        <v>8.6962420870981008E-2</v>
      </c>
      <c r="AK20" s="17">
        <f t="shared" si="84"/>
        <v>8.3037778270369553E-2</v>
      </c>
      <c r="AL20" s="17">
        <f t="shared" si="84"/>
        <v>8.2585560201719282E-2</v>
      </c>
      <c r="AM20" s="17">
        <f t="shared" si="84"/>
        <v>7.6850519584332533E-2</v>
      </c>
      <c r="AN20" s="17">
        <f t="shared" si="84"/>
        <v>7.1052028420811375E-2</v>
      </c>
      <c r="AO20" s="17">
        <f t="shared" si="84"/>
        <v>6.6214891213960361E-2</v>
      </c>
      <c r="AP20" s="17">
        <f t="shared" si="84"/>
        <v>6.874969198166675E-2</v>
      </c>
      <c r="AQ20" s="17">
        <f t="shared" si="84"/>
        <v>7.0000000000000007E-2</v>
      </c>
      <c r="AR20" s="17">
        <f t="shared" si="84"/>
        <v>7.0000000000000007E-2</v>
      </c>
      <c r="AS20" s="17">
        <f t="shared" si="84"/>
        <v>7.0000000000000007E-2</v>
      </c>
      <c r="AT20" s="17">
        <f t="shared" si="84"/>
        <v>7.0000000000000007E-2</v>
      </c>
      <c r="AU20" s="17">
        <f t="shared" si="84"/>
        <v>7.0000000000000007E-2</v>
      </c>
      <c r="AV20" s="17">
        <f t="shared" si="84"/>
        <v>7.0000000000000007E-2</v>
      </c>
      <c r="AW20" s="17">
        <f t="shared" ref="AW20:BA20" si="85">AW6/AW3</f>
        <v>7.0000000000000007E-2</v>
      </c>
      <c r="AX20" s="17">
        <f t="shared" si="85"/>
        <v>7.0000000000000007E-2</v>
      </c>
      <c r="AY20" s="17">
        <f t="shared" si="85"/>
        <v>7.0000000000000007E-2</v>
      </c>
      <c r="AZ20" s="17">
        <f t="shared" si="85"/>
        <v>7.0000000000000007E-2</v>
      </c>
      <c r="BA20" s="17">
        <f t="shared" si="85"/>
        <v>7.0000000000000007E-2</v>
      </c>
    </row>
    <row r="21" spans="2:56" x14ac:dyDescent="0.3">
      <c r="B21" s="1" t="s">
        <v>100</v>
      </c>
      <c r="C21" s="17">
        <f t="shared" ref="C21:N21" si="86">C7/C3</f>
        <v>3.6494470014426052E-2</v>
      </c>
      <c r="D21" s="17">
        <f t="shared" si="86"/>
        <v>3.4358697607483363E-2</v>
      </c>
      <c r="E21" s="17">
        <f t="shared" si="86"/>
        <v>3.6376811594202897E-2</v>
      </c>
      <c r="F21" s="17">
        <f t="shared" si="86"/>
        <v>4.2188928058493273E-2</v>
      </c>
      <c r="G21" s="17">
        <f t="shared" si="86"/>
        <v>3.7842431513697261E-2</v>
      </c>
      <c r="H21" s="17">
        <f t="shared" si="86"/>
        <v>3.4547825419958579E-2</v>
      </c>
      <c r="I21" s="17">
        <f t="shared" si="86"/>
        <v>3.7658743080429824E-2</v>
      </c>
      <c r="J21" s="17">
        <f t="shared" si="86"/>
        <v>4.4399000227221083E-2</v>
      </c>
      <c r="K21" s="17">
        <f t="shared" si="86"/>
        <v>4.4410941984233662E-2</v>
      </c>
      <c r="L21" s="17">
        <f t="shared" si="86"/>
        <v>5.8793456032719835E-2</v>
      </c>
      <c r="M21" s="17">
        <f t="shared" si="86"/>
        <v>3.9659674837840116E-2</v>
      </c>
      <c r="N21" s="17">
        <f t="shared" si="86"/>
        <v>3.2418878618377125E-2</v>
      </c>
      <c r="O21" s="17">
        <f t="shared" ref="O21:AD21" si="87">O7/O3</f>
        <v>4.2147620879825577E-2</v>
      </c>
      <c r="P21" s="17">
        <f t="shared" si="87"/>
        <v>3.423833088136953E-2</v>
      </c>
      <c r="Q21" s="17">
        <f t="shared" si="87"/>
        <v>4.4299239430187418E-2</v>
      </c>
      <c r="R21" s="17">
        <f t="shared" si="87"/>
        <v>4.6619496855345909E-2</v>
      </c>
      <c r="S21" s="17">
        <f t="shared" si="87"/>
        <v>4.4260622868254121E-2</v>
      </c>
      <c r="T21" s="17">
        <f t="shared" si="87"/>
        <v>4.0090303840789154E-2</v>
      </c>
      <c r="U21" s="17">
        <f t="shared" si="87"/>
        <v>4.416506392125806E-2</v>
      </c>
      <c r="V21" s="17">
        <f t="shared" si="87"/>
        <v>3.9365121007411297E-2</v>
      </c>
      <c r="W21" s="17">
        <f t="shared" si="87"/>
        <v>4.2533924774928476E-2</v>
      </c>
      <c r="X21" s="17">
        <f t="shared" si="87"/>
        <v>3.6972732609700347E-2</v>
      </c>
      <c r="Y21" s="17">
        <f t="shared" si="87"/>
        <v>3.9723508148899737E-2</v>
      </c>
      <c r="Z21" s="17">
        <f t="shared" si="87"/>
        <v>3.8895643596155167E-2</v>
      </c>
      <c r="AA21" s="17">
        <f t="shared" si="87"/>
        <v>4.4499807847762418E-2</v>
      </c>
      <c r="AB21" s="17">
        <f t="shared" si="87"/>
        <v>3.905734410060116E-2</v>
      </c>
      <c r="AC21" s="17">
        <f t="shared" si="87"/>
        <v>3.5092637427049621E-2</v>
      </c>
      <c r="AD21" s="17">
        <f t="shared" si="87"/>
        <v>3.8762617592529011E-2</v>
      </c>
      <c r="AE21" s="17"/>
      <c r="AF21" s="17"/>
      <c r="AG21" s="17"/>
      <c r="AH21" s="17"/>
      <c r="AJ21" s="17">
        <f t="shared" ref="AJ21:AV21" si="88">AJ7/AJ3</f>
        <v>3.7392568974216556E-2</v>
      </c>
      <c r="AK21" s="17">
        <f t="shared" si="88"/>
        <v>3.8660977231704613E-2</v>
      </c>
      <c r="AL21" s="17">
        <f t="shared" si="88"/>
        <v>4.2169917984242924E-2</v>
      </c>
      <c r="AM21" s="17">
        <f t="shared" si="88"/>
        <v>4.1646682653876901E-2</v>
      </c>
      <c r="AN21" s="17">
        <f t="shared" si="88"/>
        <v>4.1861247994499196E-2</v>
      </c>
      <c r="AO21" s="17">
        <f t="shared" si="88"/>
        <v>3.9480706457658464E-2</v>
      </c>
      <c r="AP21" s="17">
        <f t="shared" si="88"/>
        <v>3.9284658222857427E-2</v>
      </c>
      <c r="AQ21" s="17">
        <f t="shared" si="88"/>
        <v>3.9284658222857427E-2</v>
      </c>
      <c r="AR21" s="17">
        <f t="shared" si="88"/>
        <v>3.9284658222857427E-2</v>
      </c>
      <c r="AS21" s="17">
        <f t="shared" si="88"/>
        <v>3.9284658222857427E-2</v>
      </c>
      <c r="AT21" s="17">
        <f t="shared" si="88"/>
        <v>3.928465822285742E-2</v>
      </c>
      <c r="AU21" s="17">
        <f t="shared" si="88"/>
        <v>3.928465822285742E-2</v>
      </c>
      <c r="AV21" s="17">
        <f t="shared" si="88"/>
        <v>3.928465822285742E-2</v>
      </c>
      <c r="AW21" s="17">
        <f t="shared" ref="AW21:BA21" si="89">AW7/AW3</f>
        <v>3.928465822285742E-2</v>
      </c>
      <c r="AX21" s="17">
        <f t="shared" si="89"/>
        <v>3.928465822285742E-2</v>
      </c>
      <c r="AY21" s="17">
        <f t="shared" si="89"/>
        <v>3.928465822285742E-2</v>
      </c>
      <c r="AZ21" s="17">
        <f t="shared" si="89"/>
        <v>3.9284658222857413E-2</v>
      </c>
      <c r="BA21" s="17">
        <f t="shared" si="89"/>
        <v>3.9284658222857413E-2</v>
      </c>
      <c r="BC21" s="1" t="s">
        <v>33</v>
      </c>
      <c r="BD21" s="17">
        <v>-0.01</v>
      </c>
    </row>
    <row r="22" spans="2:56" x14ac:dyDescent="0.3">
      <c r="B22" s="1" t="s">
        <v>102</v>
      </c>
      <c r="C22" s="17"/>
      <c r="D22" s="17"/>
      <c r="E22" s="17"/>
      <c r="F22" s="17"/>
      <c r="G22" s="17">
        <f>G7/C7-1</f>
        <v>6.8705882352941172E-2</v>
      </c>
      <c r="H22" s="17">
        <f t="shared" ref="H22:AD22" si="90">H7/D7-1</f>
        <v>7.1870537839124227E-2</v>
      </c>
      <c r="I22" s="17">
        <f t="shared" si="90"/>
        <v>0.15189243027888444</v>
      </c>
      <c r="J22" s="17">
        <f t="shared" si="90"/>
        <v>0.13384912959381046</v>
      </c>
      <c r="K22" s="17">
        <f t="shared" si="90"/>
        <v>7.6618229854689579E-2</v>
      </c>
      <c r="L22" s="17">
        <f t="shared" si="90"/>
        <v>7.2380106571936054E-2</v>
      </c>
      <c r="M22" s="17">
        <f t="shared" si="90"/>
        <v>1.7725897103328947E-2</v>
      </c>
      <c r="N22" s="17">
        <f t="shared" si="90"/>
        <v>-0.25452064141931086</v>
      </c>
      <c r="O22" s="17">
        <f t="shared" si="90"/>
        <v>7.5255623721881326E-2</v>
      </c>
      <c r="P22" s="17">
        <f t="shared" si="90"/>
        <v>-4.5962732919254679E-2</v>
      </c>
      <c r="Q22" s="17">
        <f t="shared" si="90"/>
        <v>7.136788445199671E-2</v>
      </c>
      <c r="R22" s="17">
        <f t="shared" si="90"/>
        <v>0.3569794050343249</v>
      </c>
      <c r="S22" s="17">
        <f t="shared" si="90"/>
        <v>5.6295169265880629E-2</v>
      </c>
      <c r="T22" s="17">
        <f t="shared" si="90"/>
        <v>0.21006944444444442</v>
      </c>
      <c r="U22" s="17">
        <f t="shared" si="90"/>
        <v>0.23830293417922288</v>
      </c>
      <c r="V22" s="17">
        <f t="shared" si="90"/>
        <v>1.2141652613828047E-2</v>
      </c>
      <c r="W22" s="17">
        <f t="shared" si="90"/>
        <v>0.167086784299604</v>
      </c>
      <c r="X22" s="17">
        <f t="shared" si="90"/>
        <v>6.1692969870875247E-2</v>
      </c>
      <c r="Y22" s="17">
        <f t="shared" si="90"/>
        <v>2.8818443804035088E-3</v>
      </c>
      <c r="Z22" s="17">
        <f t="shared" si="90"/>
        <v>0.12995668110629799</v>
      </c>
      <c r="AA22" s="17">
        <f t="shared" si="90"/>
        <v>3.6099969145325428E-2</v>
      </c>
      <c r="AB22" s="17">
        <f t="shared" si="90"/>
        <v>9.966216216216206E-2</v>
      </c>
      <c r="AC22" s="17">
        <f t="shared" si="90"/>
        <v>-0.12068965517241381</v>
      </c>
      <c r="AD22" s="17">
        <f t="shared" si="90"/>
        <v>-1.1795930404010502E-3</v>
      </c>
      <c r="AE22" s="17"/>
      <c r="AF22" s="17"/>
      <c r="AG22" s="17"/>
      <c r="AH22" s="17"/>
      <c r="AJ22" s="17"/>
      <c r="AK22" s="17">
        <f>AK7/AJ7-1</f>
        <v>0.10749518085950793</v>
      </c>
      <c r="AL22" s="17">
        <f t="shared" ref="AL22:BA22" si="91">AL7/AK7-1</f>
        <v>-3.7677894952390711E-2</v>
      </c>
      <c r="AM22" s="17">
        <f t="shared" si="91"/>
        <v>0.10862857750824562</v>
      </c>
      <c r="AN22" s="17">
        <f t="shared" si="91"/>
        <v>0.1217850287907869</v>
      </c>
      <c r="AO22" s="17">
        <f t="shared" si="91"/>
        <v>8.8544785695953365E-2</v>
      </c>
      <c r="AP22" s="17">
        <f t="shared" si="91"/>
        <v>2.3577491354920266E-3</v>
      </c>
      <c r="AQ22" s="17">
        <f t="shared" si="91"/>
        <v>1.0000000000000009E-2</v>
      </c>
      <c r="AR22" s="17">
        <f t="shared" si="91"/>
        <v>1.0000000000000009E-2</v>
      </c>
      <c r="AS22" s="17">
        <f t="shared" si="91"/>
        <v>1.0000000000000009E-2</v>
      </c>
      <c r="AT22" s="17">
        <f t="shared" si="91"/>
        <v>1.0000000000000009E-2</v>
      </c>
      <c r="AU22" s="17">
        <f t="shared" si="91"/>
        <v>1.0000000000000009E-2</v>
      </c>
      <c r="AV22" s="17">
        <f t="shared" si="91"/>
        <v>1.0000000000000009E-2</v>
      </c>
      <c r="AW22" s="17">
        <f t="shared" si="91"/>
        <v>1.0000000000000009E-2</v>
      </c>
      <c r="AX22" s="17">
        <f t="shared" si="91"/>
        <v>1.0000000000000009E-2</v>
      </c>
      <c r="AY22" s="17">
        <f t="shared" si="91"/>
        <v>1.0000000000000009E-2</v>
      </c>
      <c r="AZ22" s="17">
        <f t="shared" si="91"/>
        <v>1.0000000000000009E-2</v>
      </c>
      <c r="BA22" s="17">
        <f t="shared" si="91"/>
        <v>1.0000000000000009E-2</v>
      </c>
      <c r="BC22" s="1" t="s">
        <v>34</v>
      </c>
      <c r="BD22" s="17">
        <v>0.06</v>
      </c>
    </row>
    <row r="23" spans="2:56" x14ac:dyDescent="0.3">
      <c r="B23" s="3" t="s">
        <v>32</v>
      </c>
      <c r="G23" s="16">
        <f t="shared" ref="G23:AD23" si="92">G3/C3-1</f>
        <v>3.0638180943875826E-2</v>
      </c>
      <c r="H23" s="16">
        <f t="shared" si="92"/>
        <v>6.6002714680534424E-2</v>
      </c>
      <c r="I23" s="16">
        <f t="shared" si="92"/>
        <v>0.11268115942028989</v>
      </c>
      <c r="J23" s="16">
        <f t="shared" si="92"/>
        <v>7.7408930669800258E-2</v>
      </c>
      <c r="K23" s="16">
        <f t="shared" si="92"/>
        <v>-8.2616809971339022E-2</v>
      </c>
      <c r="L23" s="16">
        <f t="shared" si="92"/>
        <v>-0.36985502799723868</v>
      </c>
      <c r="M23" s="16">
        <f t="shared" si="92"/>
        <v>-3.3620970367958303E-2</v>
      </c>
      <c r="N23" s="16">
        <f t="shared" si="92"/>
        <v>2.0964932212375942E-2</v>
      </c>
      <c r="O23" s="16">
        <f t="shared" si="92"/>
        <v>0.13299669415482973</v>
      </c>
      <c r="P23" s="16">
        <f t="shared" si="92"/>
        <v>0.6382559158632779</v>
      </c>
      <c r="Q23" s="16">
        <f t="shared" si="92"/>
        <v>-4.0839019459186221E-2</v>
      </c>
      <c r="R23" s="16">
        <f t="shared" si="92"/>
        <v>-5.6365821451356823E-2</v>
      </c>
      <c r="S23" s="16">
        <f t="shared" si="92"/>
        <v>5.8676414005387478E-3</v>
      </c>
      <c r="T23" s="16">
        <f t="shared" si="92"/>
        <v>3.343587000133752E-2</v>
      </c>
      <c r="U23" s="16">
        <f t="shared" si="92"/>
        <v>0.24206495582371645</v>
      </c>
      <c r="V23" s="16">
        <f t="shared" si="92"/>
        <v>0.19866352201257853</v>
      </c>
      <c r="W23" s="16">
        <f t="shared" si="92"/>
        <v>0.21446558923846859</v>
      </c>
      <c r="X23" s="16">
        <f t="shared" si="92"/>
        <v>0.15121579454438261</v>
      </c>
      <c r="Y23" s="16">
        <f t="shared" si="92"/>
        <v>0.11501583889580269</v>
      </c>
      <c r="Z23" s="16">
        <f t="shared" si="92"/>
        <v>0.143595461402243</v>
      </c>
      <c r="AA23" s="16">
        <f t="shared" si="92"/>
        <v>-9.6721698732250561E-3</v>
      </c>
      <c r="AB23" s="16">
        <f t="shared" si="92"/>
        <v>4.0969784783722041E-2</v>
      </c>
      <c r="AC23" s="16">
        <f t="shared" si="92"/>
        <v>-4.6547022639356062E-3</v>
      </c>
      <c r="AD23" s="16">
        <f t="shared" si="92"/>
        <v>2.2481704939092406E-3</v>
      </c>
      <c r="AE23" s="16"/>
      <c r="AF23" s="16"/>
      <c r="AG23" s="16"/>
      <c r="AH23" s="16"/>
      <c r="AJ23" s="16"/>
      <c r="AK23" s="16">
        <f t="shared" ref="AK23:AV23" si="93">AK3/AJ3-1</f>
        <v>7.1159937078384861E-2</v>
      </c>
      <c r="AL23" s="16">
        <f t="shared" si="93"/>
        <v>-0.11775230374616041</v>
      </c>
      <c r="AM23" s="16">
        <f t="shared" si="93"/>
        <v>0.1225570251790169</v>
      </c>
      <c r="AN23" s="16">
        <f t="shared" si="93"/>
        <v>0.11603517186250989</v>
      </c>
      <c r="AO23" s="16">
        <f t="shared" si="93"/>
        <v>0.15418003667201474</v>
      </c>
      <c r="AP23" s="16">
        <f t="shared" si="93"/>
        <v>7.3599682267813105E-3</v>
      </c>
      <c r="AQ23" s="16">
        <f t="shared" si="93"/>
        <v>1.0000000000000009E-2</v>
      </c>
      <c r="AR23" s="16">
        <f t="shared" si="93"/>
        <v>1.0000000000000009E-2</v>
      </c>
      <c r="AS23" s="16">
        <f t="shared" si="93"/>
        <v>1.0000000000000009E-2</v>
      </c>
      <c r="AT23" s="16">
        <f t="shared" si="93"/>
        <v>1.0000000000000009E-2</v>
      </c>
      <c r="AU23" s="16">
        <f t="shared" si="93"/>
        <v>1.0000000000000009E-2</v>
      </c>
      <c r="AV23" s="16">
        <f t="shared" si="93"/>
        <v>1.0000000000000009E-2</v>
      </c>
      <c r="AW23" s="16">
        <f t="shared" ref="AW23:BA23" si="94">AW3/AV3-1</f>
        <v>1.0000000000000009E-2</v>
      </c>
      <c r="AX23" s="16">
        <f t="shared" si="94"/>
        <v>1.0000000000000009E-2</v>
      </c>
      <c r="AY23" s="16">
        <f t="shared" si="94"/>
        <v>1.0000000000000009E-2</v>
      </c>
      <c r="AZ23" s="16">
        <f t="shared" si="94"/>
        <v>1.0000000000000009E-2</v>
      </c>
      <c r="BA23" s="16">
        <f t="shared" si="94"/>
        <v>1.0000000000000009E-2</v>
      </c>
      <c r="BC23" s="1" t="s">
        <v>35</v>
      </c>
      <c r="BD23" s="6">
        <f>NPV(BD22,AQ14:FB14)</f>
        <v>212190.84886711003</v>
      </c>
    </row>
    <row r="24" spans="2:56" x14ac:dyDescent="0.3">
      <c r="B24" s="3" t="s">
        <v>81</v>
      </c>
      <c r="C24" s="16">
        <f t="shared" ref="C24:N24" si="95">C14/C3</f>
        <v>5.5334203475990933E-2</v>
      </c>
      <c r="D24" s="16">
        <f t="shared" si="95"/>
        <v>5.2854502935452748E-2</v>
      </c>
      <c r="E24" s="16">
        <f t="shared" si="95"/>
        <v>4.8333333333333332E-2</v>
      </c>
      <c r="F24" s="16">
        <f t="shared" si="95"/>
        <v>4.416372894633764E-2</v>
      </c>
      <c r="G24" s="16">
        <f t="shared" si="95"/>
        <v>4.8523628607611814E-2</v>
      </c>
      <c r="H24" s="16">
        <f t="shared" si="95"/>
        <v>6.0796195443737058E-2</v>
      </c>
      <c r="I24" s="16">
        <f t="shared" si="95"/>
        <v>6.1706284597850866E-2</v>
      </c>
      <c r="J24" s="16">
        <f t="shared" si="95"/>
        <v>4.0627130197682347E-2</v>
      </c>
      <c r="K24" s="16">
        <f t="shared" si="95"/>
        <v>7.3745776873614995E-3</v>
      </c>
      <c r="L24" s="16">
        <f t="shared" si="95"/>
        <v>-3.9122602006037586E-2</v>
      </c>
      <c r="M24" s="16">
        <f t="shared" si="95"/>
        <v>4.3500968747367537E-2</v>
      </c>
      <c r="N24" s="16">
        <f t="shared" si="95"/>
        <v>0.10314693096336741</v>
      </c>
      <c r="O24" s="16">
        <f t="shared" ref="O24:AD24" si="96">O14/O3</f>
        <v>5.2007182249583173E-2</v>
      </c>
      <c r="P24" s="16">
        <f t="shared" si="96"/>
        <v>7.2251199976223382E-2</v>
      </c>
      <c r="Q24" s="16">
        <f t="shared" si="96"/>
        <v>4.8514868876359099E-2</v>
      </c>
      <c r="R24" s="16">
        <f t="shared" si="96"/>
        <v>6.25E-2</v>
      </c>
      <c r="S24" s="16">
        <f t="shared" si="96"/>
        <v>0.10450734755028529</v>
      </c>
      <c r="T24" s="16">
        <f t="shared" si="96"/>
        <v>5.3779675883985446E-2</v>
      </c>
      <c r="U24" s="16">
        <f t="shared" si="96"/>
        <v>2.7675642040954858E-2</v>
      </c>
      <c r="V24" s="16">
        <f t="shared" si="96"/>
        <v>3.4262477864497931E-2</v>
      </c>
      <c r="W24" s="16">
        <f t="shared" si="96"/>
        <v>5.5237670280059846E-2</v>
      </c>
      <c r="X24" s="16">
        <f t="shared" si="96"/>
        <v>4.0582570354363655E-2</v>
      </c>
      <c r="Y24" s="16">
        <f t="shared" si="96"/>
        <v>4.9337307375229879E-2</v>
      </c>
      <c r="Z24" s="16">
        <f t="shared" si="96"/>
        <v>5.3508751806565578E-2</v>
      </c>
      <c r="AA24" s="16">
        <f t="shared" si="96"/>
        <v>4.3280635030015502E-2</v>
      </c>
      <c r="AB24" s="16">
        <f t="shared" si="96"/>
        <v>3.7341460780666913E-2</v>
      </c>
      <c r="AC24" s="16">
        <f t="shared" si="96"/>
        <v>1.5431076225184128E-2</v>
      </c>
      <c r="AD24" s="16">
        <f t="shared" si="96"/>
        <v>3.0291606582892715E-2</v>
      </c>
      <c r="AE24" s="16"/>
      <c r="AF24" s="16"/>
      <c r="AG24" s="16"/>
      <c r="AH24" s="16"/>
      <c r="AJ24" s="16">
        <f t="shared" ref="AJ24:AV24" si="97">AJ14/AJ3</f>
        <v>5.0150732036175691E-2</v>
      </c>
      <c r="AK24" s="16">
        <f t="shared" si="97"/>
        <v>5.2831786947021758E-2</v>
      </c>
      <c r="AL24" s="16">
        <f t="shared" si="97"/>
        <v>3.7387161034439439E-2</v>
      </c>
      <c r="AM24" s="16">
        <f t="shared" si="97"/>
        <v>5.9324540367705833E-2</v>
      </c>
      <c r="AN24" s="16">
        <f t="shared" si="97"/>
        <v>5.323888379555352E-2</v>
      </c>
      <c r="AO24" s="16">
        <f t="shared" si="97"/>
        <v>4.968599123754204E-2</v>
      </c>
      <c r="AP24" s="16">
        <f t="shared" si="97"/>
        <v>3.3022645507860625E-2</v>
      </c>
      <c r="AQ24" s="16">
        <f t="shared" si="97"/>
        <v>3.9292870467372995E-2</v>
      </c>
      <c r="AR24" s="16">
        <f t="shared" si="97"/>
        <v>3.9292870467372981E-2</v>
      </c>
      <c r="AS24" s="16">
        <f t="shared" si="97"/>
        <v>3.9292870467372981E-2</v>
      </c>
      <c r="AT24" s="16">
        <f t="shared" si="97"/>
        <v>3.9292870467372981E-2</v>
      </c>
      <c r="AU24" s="16">
        <f t="shared" si="97"/>
        <v>3.9292870467372981E-2</v>
      </c>
      <c r="AV24" s="16">
        <f t="shared" si="97"/>
        <v>3.9292870467372995E-2</v>
      </c>
      <c r="AW24" s="16">
        <f t="shared" ref="AW24:BA24" si="98">AW14/AW3</f>
        <v>3.9292870467372974E-2</v>
      </c>
      <c r="AX24" s="16">
        <f t="shared" si="98"/>
        <v>3.9292870467372974E-2</v>
      </c>
      <c r="AY24" s="16">
        <f t="shared" si="98"/>
        <v>3.9292870467372995E-2</v>
      </c>
      <c r="AZ24" s="16">
        <f t="shared" si="98"/>
        <v>3.9292870467372974E-2</v>
      </c>
      <c r="BA24" s="16">
        <f t="shared" si="98"/>
        <v>3.9292870467372981E-2</v>
      </c>
      <c r="BC24" s="1" t="s">
        <v>36</v>
      </c>
      <c r="BD24" s="6">
        <f>Main!D8</f>
        <v>-186459</v>
      </c>
    </row>
    <row r="25" spans="2:56" x14ac:dyDescent="0.3">
      <c r="B25" s="3" t="s">
        <v>19</v>
      </c>
      <c r="C25" s="16">
        <f t="shared" ref="C25:AD25" si="99">C12/C11</f>
        <v>0.26306386779812418</v>
      </c>
      <c r="D25" s="16">
        <f t="shared" si="99"/>
        <v>0.26290035587188609</v>
      </c>
      <c r="E25" s="16">
        <f t="shared" si="99"/>
        <v>0.22053017484489565</v>
      </c>
      <c r="F25" s="16">
        <f t="shared" si="99"/>
        <v>0.1111111111111111</v>
      </c>
      <c r="G25" s="16">
        <f t="shared" si="99"/>
        <v>0.2500614099729796</v>
      </c>
      <c r="H25" s="16">
        <f t="shared" si="99"/>
        <v>0.25009114108640174</v>
      </c>
      <c r="I25" s="16">
        <f t="shared" si="99"/>
        <v>0.21531194646723087</v>
      </c>
      <c r="J25" s="16">
        <f t="shared" si="99"/>
        <v>0.22646584185045723</v>
      </c>
      <c r="K25" s="16">
        <f t="shared" si="99"/>
        <v>0.24193548387096775</v>
      </c>
      <c r="L25" s="16">
        <f t="shared" si="99"/>
        <v>0.24483775811209441</v>
      </c>
      <c r="M25" s="16">
        <f t="shared" si="99"/>
        <v>0.23738214087631726</v>
      </c>
      <c r="N25" s="16">
        <f t="shared" si="99"/>
        <v>0.24649383765405866</v>
      </c>
      <c r="O25" s="16">
        <f t="shared" si="99"/>
        <v>0.2349910394265233</v>
      </c>
      <c r="P25" s="16">
        <f t="shared" si="99"/>
        <v>0.24656306037059175</v>
      </c>
      <c r="Q25" s="16">
        <f t="shared" si="99"/>
        <v>5.7142857142857141E-2</v>
      </c>
      <c r="R25" s="16">
        <f t="shared" si="99"/>
        <v>0.3095076400679117</v>
      </c>
      <c r="S25" s="16">
        <f t="shared" si="99"/>
        <v>0.24392985611510792</v>
      </c>
      <c r="T25" s="16">
        <f t="shared" si="99"/>
        <v>0.23856781474995134</v>
      </c>
      <c r="U25" s="16">
        <f t="shared" si="99"/>
        <v>0.27350136239782014</v>
      </c>
      <c r="V25" s="16">
        <f t="shared" si="99"/>
        <v>0.39609621451104099</v>
      </c>
      <c r="W25" s="16">
        <f t="shared" si="99"/>
        <v>0.26704897706137631</v>
      </c>
      <c r="X25" s="16">
        <f t="shared" si="99"/>
        <v>0.30389276533235404</v>
      </c>
      <c r="Y25" s="16">
        <f t="shared" si="99"/>
        <v>0.25077559462254395</v>
      </c>
      <c r="Z25" s="16">
        <f t="shared" si="99"/>
        <v>7.8813250819075351E-2</v>
      </c>
      <c r="AA25" s="16">
        <f t="shared" si="99"/>
        <v>0.28392202277552597</v>
      </c>
      <c r="AB25" s="16">
        <f t="shared" si="99"/>
        <v>0.27176093060569595</v>
      </c>
      <c r="AC25" s="16">
        <f t="shared" si="99"/>
        <v>0.33106960950764008</v>
      </c>
      <c r="AD25" s="16">
        <f t="shared" si="99"/>
        <v>0.2120195321347865</v>
      </c>
      <c r="AE25" s="16"/>
      <c r="AF25" s="16"/>
      <c r="AG25" s="16"/>
      <c r="AH25" s="16"/>
      <c r="AJ25" s="16">
        <f t="shared" ref="AJ25:AV25" si="100">AJ12/AJ11</f>
        <v>0.22303905900402737</v>
      </c>
      <c r="AK25" s="16">
        <f t="shared" si="100"/>
        <v>0.23567225975157988</v>
      </c>
      <c r="AL25" s="16">
        <f t="shared" si="100"/>
        <v>0.2436996399794274</v>
      </c>
      <c r="AM25" s="16">
        <f t="shared" si="100"/>
        <v>0.2334293948126801</v>
      </c>
      <c r="AN25" s="16">
        <f t="shared" si="100"/>
        <v>0.28163135689334484</v>
      </c>
      <c r="AO25" s="16">
        <f t="shared" si="100"/>
        <v>0.22704147624385618</v>
      </c>
      <c r="AP25" s="16">
        <f t="shared" si="100"/>
        <v>0.26248140434394523</v>
      </c>
      <c r="AQ25" s="16">
        <f t="shared" si="100"/>
        <v>0.23999999999999996</v>
      </c>
      <c r="AR25" s="16">
        <f t="shared" si="100"/>
        <v>0.24000000000000002</v>
      </c>
      <c r="AS25" s="16">
        <f t="shared" si="100"/>
        <v>0.24</v>
      </c>
      <c r="AT25" s="16">
        <f t="shared" si="100"/>
        <v>0.24</v>
      </c>
      <c r="AU25" s="16">
        <f t="shared" si="100"/>
        <v>0.23999999999999996</v>
      </c>
      <c r="AV25" s="16">
        <f t="shared" si="100"/>
        <v>0.23999999999999996</v>
      </c>
      <c r="AW25" s="16">
        <f t="shared" ref="AW25:BA25" si="101">AW12/AW11</f>
        <v>0.24</v>
      </c>
      <c r="AX25" s="16">
        <f t="shared" si="101"/>
        <v>0.24</v>
      </c>
      <c r="AY25" s="16">
        <f t="shared" si="101"/>
        <v>0.24</v>
      </c>
      <c r="AZ25" s="16">
        <f t="shared" si="101"/>
        <v>0.24000000000000002</v>
      </c>
      <c r="BA25" s="16">
        <f t="shared" si="101"/>
        <v>0.23999999999999996</v>
      </c>
      <c r="BC25" s="1" t="s">
        <v>37</v>
      </c>
      <c r="BD25" s="6">
        <f>BD23+BD24</f>
        <v>25731.848867110035</v>
      </c>
    </row>
    <row r="26" spans="2:56" x14ac:dyDescent="0.3">
      <c r="AL26" s="1"/>
      <c r="BC26" s="1" t="s">
        <v>38</v>
      </c>
      <c r="BD26" s="4">
        <f>BD25/AV15</f>
        <v>51.330239112527494</v>
      </c>
    </row>
    <row r="27" spans="2:56" x14ac:dyDescent="0.3">
      <c r="AL27" s="1"/>
      <c r="BC27" s="1" t="s">
        <v>39</v>
      </c>
      <c r="BD27" s="4">
        <f>Main!D3</f>
        <v>98.9</v>
      </c>
    </row>
    <row r="28" spans="2:56" x14ac:dyDescent="0.3">
      <c r="B28" s="1" t="s">
        <v>61</v>
      </c>
      <c r="AL28" s="6">
        <v>2910000</v>
      </c>
      <c r="AM28" s="6">
        <f>AL28*1.15</f>
        <v>3346499.9999999995</v>
      </c>
      <c r="AN28" s="6">
        <f t="shared" ref="AN28:AV28" si="102">AM28*1.02</f>
        <v>3413429.9999999995</v>
      </c>
      <c r="AO28" s="6">
        <f t="shared" si="102"/>
        <v>3481698.5999999996</v>
      </c>
      <c r="AP28" s="6">
        <f t="shared" si="102"/>
        <v>3551332.5719999997</v>
      </c>
      <c r="AQ28" s="6">
        <f t="shared" si="102"/>
        <v>3622359.2234399999</v>
      </c>
      <c r="AR28" s="6">
        <f t="shared" si="102"/>
        <v>3694806.4079088001</v>
      </c>
      <c r="AS28" s="6">
        <f t="shared" si="102"/>
        <v>3768702.5360669759</v>
      </c>
      <c r="AT28" s="6">
        <f t="shared" si="102"/>
        <v>3844076.5867883153</v>
      </c>
      <c r="AU28" s="6">
        <f t="shared" si="102"/>
        <v>3920958.1185240815</v>
      </c>
      <c r="AV28" s="6">
        <f t="shared" si="102"/>
        <v>3999377.2808945631</v>
      </c>
      <c r="BC28" s="3" t="s">
        <v>40</v>
      </c>
      <c r="BD28" s="16">
        <f>BD26/BD27-1</f>
        <v>-0.48098848217869072</v>
      </c>
    </row>
    <row r="29" spans="2:56" x14ac:dyDescent="0.3">
      <c r="BC29" s="1" t="s">
        <v>77</v>
      </c>
      <c r="BD29" s="12" t="s">
        <v>107</v>
      </c>
    </row>
    <row r="30" spans="2:56" x14ac:dyDescent="0.3">
      <c r="B30" s="1" t="s">
        <v>63</v>
      </c>
      <c r="AL30" s="6">
        <f>[1]Model!G$3</f>
        <v>43273.686964448658</v>
      </c>
      <c r="AM30" s="6">
        <f>[1]Model!H$3</f>
        <v>63718.198625087709</v>
      </c>
      <c r="AN30" s="6">
        <f>[1]Model!I$3</f>
        <v>76656.720601878333</v>
      </c>
      <c r="AO30" s="6">
        <f>[1]Model!J$3</f>
        <v>75313.301328646703</v>
      </c>
      <c r="AP30" s="6">
        <f>[1]Model!K$3</f>
        <v>0</v>
      </c>
      <c r="AQ30" s="6">
        <f>[1]Model!L$3</f>
        <v>259570.79839651092</v>
      </c>
      <c r="AR30" s="6">
        <f>[1]Model!M$3</f>
        <v>276334.7296661032</v>
      </c>
      <c r="AS30" s="6">
        <f>[1]Model!N$3</f>
        <v>284293.55656744691</v>
      </c>
      <c r="AT30" s="6">
        <f>[1]Model!O$3</f>
        <v>281512.3958237776</v>
      </c>
      <c r="AU30" s="6">
        <f>[1]Model!P$3</f>
        <v>258961.90752006142</v>
      </c>
      <c r="AV30" s="6"/>
    </row>
    <row r="31" spans="2:56" x14ac:dyDescent="0.3">
      <c r="B31" s="1" t="s">
        <v>62</v>
      </c>
      <c r="AL31" s="6">
        <f t="shared" ref="AL31:AV31" si="103">AL3</f>
        <v>222884</v>
      </c>
      <c r="AM31" s="6">
        <f t="shared" si="103"/>
        <v>250200</v>
      </c>
      <c r="AN31" s="6">
        <f t="shared" si="103"/>
        <v>279232</v>
      </c>
      <c r="AO31" s="6">
        <f t="shared" si="103"/>
        <v>322284</v>
      </c>
      <c r="AP31" s="6">
        <f t="shared" si="103"/>
        <v>324656</v>
      </c>
      <c r="AQ31" s="6">
        <f t="shared" si="103"/>
        <v>327902.56</v>
      </c>
      <c r="AR31" s="6">
        <f t="shared" si="103"/>
        <v>331181.58559999999</v>
      </c>
      <c r="AS31" s="6">
        <f t="shared" si="103"/>
        <v>334493.40145599999</v>
      </c>
      <c r="AT31" s="6">
        <f t="shared" si="103"/>
        <v>337838.33547056001</v>
      </c>
      <c r="AU31" s="6">
        <f t="shared" si="103"/>
        <v>341216.71882526559</v>
      </c>
      <c r="AV31" s="6">
        <f t="shared" si="103"/>
        <v>344628.88601351826</v>
      </c>
    </row>
    <row r="32" spans="2:56" x14ac:dyDescent="0.3">
      <c r="B32" s="1" t="s">
        <v>68</v>
      </c>
      <c r="AL32" s="6">
        <f>[2]Model!Q$4</f>
        <v>24933</v>
      </c>
      <c r="AM32" s="6">
        <f>[2]Model!R$4</f>
        <v>26567</v>
      </c>
      <c r="AN32" s="6">
        <f>[2]Model!S$4</f>
        <v>26894</v>
      </c>
      <c r="AO32" s="6">
        <f>[2]Model!T$4</f>
        <v>27938</v>
      </c>
      <c r="AP32" s="6">
        <f>[2]Model!U$4</f>
        <v>28934</v>
      </c>
      <c r="AQ32" s="6">
        <f>[2]Model!V$4</f>
        <v>32231</v>
      </c>
      <c r="AR32" s="6">
        <f>[2]Model!W$4</f>
        <v>28066</v>
      </c>
      <c r="AS32" s="6">
        <f>[2]Model!X$4</f>
        <v>29284</v>
      </c>
      <c r="AT32" s="6">
        <f>[2]Model!Y$4</f>
        <v>29166</v>
      </c>
      <c r="AU32" s="6">
        <f>[2]Model!Z$4</f>
        <v>32323</v>
      </c>
      <c r="AV32" s="6">
        <f>[2]Model!AA$4</f>
        <v>28767</v>
      </c>
      <c r="AZ32" s="1" t="s">
        <v>78</v>
      </c>
    </row>
    <row r="33" spans="2:48" x14ac:dyDescent="0.3">
      <c r="B33" s="1" t="s">
        <v>69</v>
      </c>
      <c r="AL33" s="6">
        <f>[3]Model!R$3</f>
        <v>37678</v>
      </c>
      <c r="AM33" s="6">
        <f>[3]Model!S$3</f>
        <v>34476</v>
      </c>
      <c r="AN33" s="6">
        <f>[3]Model!T$3</f>
        <v>40190</v>
      </c>
      <c r="AO33" s="6">
        <f>[3]Model!U$3</f>
        <v>39392</v>
      </c>
      <c r="AP33" s="6">
        <f>[3]Model!V$3</f>
        <v>43999</v>
      </c>
      <c r="AQ33" s="6">
        <f>[3]Model!W$3</f>
        <v>41474</v>
      </c>
      <c r="AR33" s="6">
        <f>[3]Model!X$3</f>
        <v>44954</v>
      </c>
      <c r="AS33" s="6">
        <f>[3]Model!Y$3</f>
        <v>43801</v>
      </c>
      <c r="AT33" s="6">
        <f>[3]Model!Z$3</f>
        <v>45962</v>
      </c>
      <c r="AU33" s="6">
        <f>[3]Model!AA$3</f>
        <v>42777</v>
      </c>
      <c r="AV33" s="6">
        <f>[3]Model!AB$3</f>
        <v>47808</v>
      </c>
    </row>
    <row r="34" spans="2:48" x14ac:dyDescent="0.3">
      <c r="B34" s="1" t="s">
        <v>79</v>
      </c>
      <c r="AL34" s="6">
        <f>[4]Model!AL$3</f>
        <v>122485</v>
      </c>
      <c r="AM34" s="6">
        <f>[4]Model!AM$3</f>
        <v>127004</v>
      </c>
      <c r="AN34" s="6">
        <f>[4]Model!AN$3</f>
        <v>156735</v>
      </c>
      <c r="AO34" s="6">
        <f>[4]Model!AO$3</f>
        <v>171842</v>
      </c>
      <c r="AP34" s="6">
        <f>[4]Model!AP$3</f>
        <v>187442</v>
      </c>
      <c r="AQ34" s="6">
        <f>[4]Model!AQ$3</f>
        <v>189316.42</v>
      </c>
      <c r="AR34" s="6">
        <f>[4]Model!AR$3</f>
        <v>191209.58420000001</v>
      </c>
      <c r="AS34" s="6">
        <f>[4]Model!AS$3</f>
        <v>193121.68004200002</v>
      </c>
      <c r="AT34" s="6">
        <f>[4]Model!AT$3</f>
        <v>195052.89684242001</v>
      </c>
      <c r="AU34" s="6">
        <f>[4]Model!AU$3</f>
        <v>197003.42581084423</v>
      </c>
      <c r="AV34" s="6">
        <f>[4]Model!AV$3</f>
        <v>198973.46006895267</v>
      </c>
    </row>
    <row r="35" spans="2:48" x14ac:dyDescent="0.3">
      <c r="B35" s="1" t="s">
        <v>67</v>
      </c>
      <c r="AL35" s="6">
        <f>[5]Model!F$3</f>
        <v>86549.6</v>
      </c>
      <c r="AM35" s="6">
        <f>[5]Model!G$3</f>
        <v>103859.52</v>
      </c>
      <c r="AN35" s="6">
        <f>[5]Model!H$3</f>
        <v>104898.1152</v>
      </c>
      <c r="AO35" s="6">
        <f>[5]Model!I$3</f>
        <v>105947.09635200001</v>
      </c>
      <c r="AP35" s="6">
        <f>[5]Model!J$3</f>
        <v>107006.56731552001</v>
      </c>
      <c r="AQ35" s="6">
        <f>[5]Model!K$3</f>
        <v>107006.56731552001</v>
      </c>
      <c r="AR35" s="6">
        <f>[5]Model!L$3</f>
        <v>107006.56731552001</v>
      </c>
      <c r="AS35" s="6">
        <f>[5]Model!M$3</f>
        <v>107006.56731552001</v>
      </c>
      <c r="AT35" s="6">
        <f>[5]Model!N$3</f>
        <v>107006.56731552001</v>
      </c>
      <c r="AU35" s="6">
        <f>[5]Model!O$3</f>
        <v>107006.56731552001</v>
      </c>
      <c r="AV35" s="6">
        <f>[5]Model!P$3</f>
        <v>107006.56731552001</v>
      </c>
    </row>
    <row r="36" spans="2:48" x14ac:dyDescent="0.3">
      <c r="B36" s="1" t="s">
        <v>70</v>
      </c>
      <c r="AL36" s="6">
        <f>[6]Model!R$3</f>
        <v>28408</v>
      </c>
      <c r="AM36" s="6">
        <f>[6]Model!S$3</f>
        <v>31142</v>
      </c>
      <c r="AN36" s="6">
        <f>[6]Model!T$3</f>
        <v>34770</v>
      </c>
      <c r="AO36" s="6">
        <f>[6]Model!U$3</f>
        <v>37176</v>
      </c>
      <c r="AP36" s="6">
        <f>[6]Model!V$3</f>
        <v>39522</v>
      </c>
      <c r="AQ36" s="6">
        <f>[6]Model!W$3</f>
        <v>36853</v>
      </c>
      <c r="AR36" s="6">
        <f>[6]Model!X$3</f>
        <v>37219</v>
      </c>
      <c r="AS36" s="6">
        <f>[6]Model!Y$3</f>
        <v>38458</v>
      </c>
      <c r="AT36" s="6">
        <f>[6]Model!Z$3</f>
        <v>42968</v>
      </c>
      <c r="AU36" s="6">
        <f>[6]Model!AA$3</f>
        <v>36614</v>
      </c>
      <c r="AV36" s="6">
        <f>[6]Model!AB$3</f>
        <v>36944</v>
      </c>
    </row>
    <row r="37" spans="2:48" x14ac:dyDescent="0.3">
      <c r="B37" s="1" t="s">
        <v>75</v>
      </c>
      <c r="AL37" s="6">
        <f t="shared" ref="AL37:AU37" si="104">SUM(AL30:AL36)</f>
        <v>566211.28696444863</v>
      </c>
      <c r="AM37" s="6">
        <f t="shared" si="104"/>
        <v>636966.71862508776</v>
      </c>
      <c r="AN37" s="6">
        <f t="shared" si="104"/>
        <v>719375.83580187836</v>
      </c>
      <c r="AO37" s="6">
        <f t="shared" si="104"/>
        <v>779892.39768064674</v>
      </c>
      <c r="AP37" s="6">
        <f t="shared" si="104"/>
        <v>731559.56731552002</v>
      </c>
      <c r="AQ37" s="6">
        <f t="shared" si="104"/>
        <v>994354.345712031</v>
      </c>
      <c r="AR37" s="6">
        <f t="shared" si="104"/>
        <v>1015971.4667816233</v>
      </c>
      <c r="AS37" s="6">
        <f t="shared" si="104"/>
        <v>1030458.2053809669</v>
      </c>
      <c r="AT37" s="6">
        <f t="shared" si="104"/>
        <v>1039506.1954522777</v>
      </c>
      <c r="AU37" s="6">
        <f t="shared" si="104"/>
        <v>1015902.6194716913</v>
      </c>
      <c r="AV37" s="6"/>
    </row>
    <row r="39" spans="2:48" x14ac:dyDescent="0.3">
      <c r="B39" s="1" t="s">
        <v>64</v>
      </c>
      <c r="AL39" s="17">
        <f t="shared" ref="AL39:AU39" si="105">AL30/AL$28</f>
        <v>1.4870682805652459E-2</v>
      </c>
      <c r="AM39" s="17">
        <f t="shared" si="105"/>
        <v>1.9040250597665537E-2</v>
      </c>
      <c r="AN39" s="17">
        <f t="shared" si="105"/>
        <v>2.2457387613596395E-2</v>
      </c>
      <c r="AO39" s="17">
        <f t="shared" si="105"/>
        <v>2.163119499449111E-2</v>
      </c>
      <c r="AP39" s="17">
        <f t="shared" si="105"/>
        <v>0</v>
      </c>
      <c r="AQ39" s="17">
        <f t="shared" si="105"/>
        <v>7.165793958723056E-2</v>
      </c>
      <c r="AR39" s="17">
        <f t="shared" si="105"/>
        <v>7.4790042876022866E-2</v>
      </c>
      <c r="AS39" s="17">
        <f t="shared" si="105"/>
        <v>7.5435392909554519E-2</v>
      </c>
      <c r="AT39" s="17">
        <f t="shared" si="105"/>
        <v>7.323277501580118E-2</v>
      </c>
      <c r="AU39" s="17">
        <f t="shared" si="105"/>
        <v>6.6045568376930097E-2</v>
      </c>
      <c r="AV39" s="17"/>
    </row>
    <row r="40" spans="2:48" x14ac:dyDescent="0.3">
      <c r="B40" s="1" t="s">
        <v>65</v>
      </c>
      <c r="AL40" s="17">
        <f>AL31/AL$28</f>
        <v>7.6592439862542952E-2</v>
      </c>
      <c r="AM40" s="17">
        <f t="shared" ref="AM40:AV40" si="106">AM31/AM$28</f>
        <v>7.4764679515912161E-2</v>
      </c>
      <c r="AN40" s="17">
        <f t="shared" si="106"/>
        <v>8.1803933287045591E-2</v>
      </c>
      <c r="AO40" s="17">
        <f t="shared" si="106"/>
        <v>9.2565163452115018E-2</v>
      </c>
      <c r="AP40" s="17">
        <f t="shared" si="106"/>
        <v>9.1418078543166081E-2</v>
      </c>
      <c r="AQ40" s="17">
        <f t="shared" si="106"/>
        <v>9.052182287117426E-2</v>
      </c>
      <c r="AR40" s="17">
        <f t="shared" si="106"/>
        <v>8.9634354019496071E-2</v>
      </c>
      <c r="AS40" s="17">
        <f t="shared" si="106"/>
        <v>8.8755585842834342E-2</v>
      </c>
      <c r="AT40" s="17">
        <f t="shared" si="106"/>
        <v>8.7885433040453625E-2</v>
      </c>
      <c r="AU40" s="17">
        <f t="shared" si="106"/>
        <v>8.7023811147900157E-2</v>
      </c>
      <c r="AV40" s="17">
        <f t="shared" si="106"/>
        <v>8.6170636528803107E-2</v>
      </c>
    </row>
    <row r="41" spans="2:48" x14ac:dyDescent="0.3">
      <c r="B41" s="1" t="s">
        <v>71</v>
      </c>
      <c r="AL41" s="17">
        <f>AL32/AL$28</f>
        <v>8.568041237113402E-3</v>
      </c>
      <c r="AM41" s="17">
        <f t="shared" ref="AM41:AV41" si="107">AM32/AM$28</f>
        <v>7.9387419692215754E-3</v>
      </c>
      <c r="AN41" s="17">
        <f t="shared" si="107"/>
        <v>7.878878430200709E-3</v>
      </c>
      <c r="AO41" s="17">
        <f t="shared" si="107"/>
        <v>8.0242442582479714E-3</v>
      </c>
      <c r="AP41" s="17">
        <f t="shared" si="107"/>
        <v>8.1473642395888807E-3</v>
      </c>
      <c r="AQ41" s="17">
        <f t="shared" si="107"/>
        <v>8.8977922982998899E-3</v>
      </c>
      <c r="AR41" s="17">
        <f t="shared" si="107"/>
        <v>7.5960678047770564E-3</v>
      </c>
      <c r="AS41" s="17">
        <f t="shared" si="107"/>
        <v>7.7703134486599278E-3</v>
      </c>
      <c r="AT41" s="17">
        <f t="shared" si="107"/>
        <v>7.5872577825947737E-3</v>
      </c>
      <c r="AU41" s="17">
        <f t="shared" si="107"/>
        <v>8.2436483693345223E-3</v>
      </c>
      <c r="AV41" s="17">
        <f t="shared" si="107"/>
        <v>7.1928697843594101E-3</v>
      </c>
    </row>
    <row r="42" spans="2:48" x14ac:dyDescent="0.3">
      <c r="B42" s="1" t="s">
        <v>72</v>
      </c>
      <c r="AL42" s="17">
        <f>AL33/$AL$28</f>
        <v>1.2947766323024055E-2</v>
      </c>
      <c r="AM42" s="17">
        <f t="shared" ref="AM42:AV42" si="108">AM33/$AL$28</f>
        <v>1.184742268041237E-2</v>
      </c>
      <c r="AN42" s="17">
        <f t="shared" si="108"/>
        <v>1.3810996563573883E-2</v>
      </c>
      <c r="AO42" s="17">
        <f t="shared" si="108"/>
        <v>1.3536769759450172E-2</v>
      </c>
      <c r="AP42" s="17">
        <f t="shared" si="108"/>
        <v>1.5119931271477663E-2</v>
      </c>
      <c r="AQ42" s="17">
        <f t="shared" si="108"/>
        <v>1.4252233676975945E-2</v>
      </c>
      <c r="AR42" s="17">
        <f t="shared" si="108"/>
        <v>1.544810996563574E-2</v>
      </c>
      <c r="AS42" s="17">
        <f t="shared" si="108"/>
        <v>1.5051890034364261E-2</v>
      </c>
      <c r="AT42" s="17">
        <f t="shared" si="108"/>
        <v>1.5794501718213057E-2</v>
      </c>
      <c r="AU42" s="17">
        <f t="shared" si="108"/>
        <v>1.47E-2</v>
      </c>
      <c r="AV42" s="17">
        <f t="shared" si="108"/>
        <v>1.6428865979381445E-2</v>
      </c>
    </row>
    <row r="43" spans="2:48" x14ac:dyDescent="0.3">
      <c r="B43" s="1" t="s">
        <v>80</v>
      </c>
      <c r="AL43" s="17">
        <f t="shared" ref="AL43:AV43" si="109">AL34/$AL$28</f>
        <v>4.2091065292096219E-2</v>
      </c>
      <c r="AM43" s="17">
        <f t="shared" si="109"/>
        <v>4.3643986254295532E-2</v>
      </c>
      <c r="AN43" s="17">
        <f t="shared" si="109"/>
        <v>5.386082474226804E-2</v>
      </c>
      <c r="AO43" s="17">
        <f t="shared" si="109"/>
        <v>5.9052233676975943E-2</v>
      </c>
      <c r="AP43" s="17">
        <f t="shared" si="109"/>
        <v>6.4413058419243982E-2</v>
      </c>
      <c r="AQ43" s="17">
        <f t="shared" si="109"/>
        <v>6.5057189003436433E-2</v>
      </c>
      <c r="AR43" s="17">
        <f t="shared" si="109"/>
        <v>6.5707760893470801E-2</v>
      </c>
      <c r="AS43" s="17">
        <f t="shared" si="109"/>
        <v>6.6364838502405502E-2</v>
      </c>
      <c r="AT43" s="17">
        <f t="shared" si="109"/>
        <v>6.7028486887429559E-2</v>
      </c>
      <c r="AU43" s="17">
        <f t="shared" si="109"/>
        <v>6.7698771756303858E-2</v>
      </c>
      <c r="AV43" s="17">
        <f t="shared" si="109"/>
        <v>6.8375759473866898E-2</v>
      </c>
    </row>
    <row r="44" spans="2:48" x14ac:dyDescent="0.3">
      <c r="B44" s="1" t="s">
        <v>73</v>
      </c>
      <c r="AL44" s="17">
        <f>AL35/$AL$28</f>
        <v>2.9742130584192443E-2</v>
      </c>
      <c r="AM44" s="17">
        <f t="shared" ref="AM44:AV44" si="110">AM35/$AL$28</f>
        <v>3.5690556701030926E-2</v>
      </c>
      <c r="AN44" s="17">
        <f t="shared" si="110"/>
        <v>3.6047462268041237E-2</v>
      </c>
      <c r="AO44" s="17">
        <f t="shared" si="110"/>
        <v>3.6407936890721651E-2</v>
      </c>
      <c r="AP44" s="17">
        <f t="shared" si="110"/>
        <v>3.6772016259628865E-2</v>
      </c>
      <c r="AQ44" s="17">
        <f t="shared" si="110"/>
        <v>3.6772016259628865E-2</v>
      </c>
      <c r="AR44" s="17">
        <f t="shared" si="110"/>
        <v>3.6772016259628865E-2</v>
      </c>
      <c r="AS44" s="17">
        <f t="shared" si="110"/>
        <v>3.6772016259628865E-2</v>
      </c>
      <c r="AT44" s="17">
        <f t="shared" si="110"/>
        <v>3.6772016259628865E-2</v>
      </c>
      <c r="AU44" s="17">
        <f t="shared" si="110"/>
        <v>3.6772016259628865E-2</v>
      </c>
      <c r="AV44" s="17">
        <f t="shared" si="110"/>
        <v>3.6772016259628865E-2</v>
      </c>
    </row>
    <row r="45" spans="2:48" x14ac:dyDescent="0.3">
      <c r="B45" s="1" t="s">
        <v>74</v>
      </c>
      <c r="AL45" s="17">
        <f>AL36/$AL$28</f>
        <v>9.7621993127147769E-3</v>
      </c>
      <c r="AM45" s="17">
        <f t="shared" ref="AM45:AV45" si="111">AM36/$AL$28</f>
        <v>1.0701718213058419E-2</v>
      </c>
      <c r="AN45" s="17">
        <f t="shared" si="111"/>
        <v>1.1948453608247422E-2</v>
      </c>
      <c r="AO45" s="17">
        <f t="shared" si="111"/>
        <v>1.2775257731958763E-2</v>
      </c>
      <c r="AP45" s="17">
        <f t="shared" si="111"/>
        <v>1.3581443298969072E-2</v>
      </c>
      <c r="AQ45" s="17">
        <f t="shared" si="111"/>
        <v>1.266426116838488E-2</v>
      </c>
      <c r="AR45" s="17">
        <f t="shared" si="111"/>
        <v>1.2790034364261169E-2</v>
      </c>
      <c r="AS45" s="17">
        <f t="shared" si="111"/>
        <v>1.3215807560137457E-2</v>
      </c>
      <c r="AT45" s="17">
        <f t="shared" si="111"/>
        <v>1.4765635738831615E-2</v>
      </c>
      <c r="AU45" s="17">
        <f t="shared" si="111"/>
        <v>1.258213058419244E-2</v>
      </c>
      <c r="AV45" s="17">
        <f t="shared" si="111"/>
        <v>1.269553264604811E-2</v>
      </c>
    </row>
    <row r="46" spans="2:48" x14ac:dyDescent="0.3">
      <c r="B46" s="1" t="s">
        <v>66</v>
      </c>
      <c r="AL46" s="17">
        <f>SUM(AL39:AL45)</f>
        <v>0.1945743254173363</v>
      </c>
      <c r="AM46" s="17">
        <f t="shared" ref="AM46:AU46" si="112">SUM(AM39:AM45)</f>
        <v>0.20362735593159653</v>
      </c>
      <c r="AN46" s="17">
        <f t="shared" si="112"/>
        <v>0.22780793651297326</v>
      </c>
      <c r="AO46" s="17">
        <f t="shared" si="112"/>
        <v>0.24399280076396063</v>
      </c>
      <c r="AP46" s="17">
        <f t="shared" si="112"/>
        <v>0.22945189203207456</v>
      </c>
      <c r="AQ46" s="17">
        <f t="shared" si="112"/>
        <v>0.29982325486513089</v>
      </c>
      <c r="AR46" s="17">
        <f t="shared" si="112"/>
        <v>0.30273838618329263</v>
      </c>
      <c r="AS46" s="17">
        <f t="shared" si="112"/>
        <v>0.30336584455758492</v>
      </c>
      <c r="AT46" s="17">
        <f t="shared" si="112"/>
        <v>0.30306610644295273</v>
      </c>
      <c r="AU46" s="17">
        <f t="shared" si="112"/>
        <v>0.29306594649428996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2020-09-07T06:24:57Z</dcterms:created>
  <dcterms:modified xsi:type="dcterms:W3CDTF">2025-04-24T17:51:52Z</dcterms:modified>
</cp:coreProperties>
</file>