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DC1C6A95-4AD3-4F8F-87AE-C68D811AE9F6}" xr6:coauthVersionLast="47" xr6:coauthVersionMax="47" xr10:uidLastSave="{00000000-0000-0000-0000-000000000000}"/>
  <bookViews>
    <workbookView xWindow="-108" yWindow="-108" windowWidth="23256" windowHeight="12576" activeTab="1" xr2:uid="{DF2D7ED4-E95E-4EA0-AAC3-7C5D2EE7EFC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" l="1"/>
  <c r="R8" i="2"/>
  <c r="R5" i="2"/>
  <c r="Q8" i="2"/>
  <c r="Q5" i="2"/>
  <c r="F8" i="2"/>
  <c r="J5" i="2"/>
  <c r="I5" i="2"/>
  <c r="H5" i="2"/>
  <c r="G5" i="2"/>
  <c r="F5" i="2"/>
  <c r="J8" i="2"/>
  <c r="I8" i="2"/>
  <c r="G8" i="2"/>
  <c r="H8" i="2"/>
  <c r="J7" i="2"/>
  <c r="J32" i="2" s="1"/>
  <c r="J4" i="2"/>
  <c r="J30" i="2" s="1"/>
  <c r="I32" i="2"/>
  <c r="H32" i="2"/>
  <c r="J31" i="2"/>
  <c r="I31" i="2"/>
  <c r="H31" i="2"/>
  <c r="I30" i="2"/>
  <c r="H30" i="2"/>
  <c r="I29" i="2"/>
  <c r="H29" i="2"/>
  <c r="J29" i="2"/>
  <c r="Q38" i="2" l="1"/>
  <c r="Q37" i="2"/>
  <c r="P37" i="2"/>
  <c r="O37" i="2"/>
  <c r="E37" i="2"/>
  <c r="C37" i="2"/>
  <c r="I38" i="2"/>
  <c r="G38" i="2"/>
  <c r="I37" i="2"/>
  <c r="G37" i="2"/>
  <c r="AE38" i="2"/>
  <c r="D6" i="1"/>
  <c r="D8" i="1" l="1"/>
  <c r="AE41" i="2"/>
  <c r="I40" i="2"/>
  <c r="G40" i="2"/>
  <c r="R20" i="2"/>
  <c r="R19" i="2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I12" i="2"/>
  <c r="I34" i="2"/>
  <c r="E40" i="2"/>
  <c r="G34" i="2"/>
  <c r="E34" i="2"/>
  <c r="H24" i="2"/>
  <c r="H22" i="2"/>
  <c r="J22" i="2" s="1"/>
  <c r="R22" i="2" s="1"/>
  <c r="S22" i="2" s="1"/>
  <c r="T22" i="2" s="1"/>
  <c r="U22" i="2" s="1"/>
  <c r="V22" i="2" s="1"/>
  <c r="W22" i="2" s="1"/>
  <c r="X22" i="2" s="1"/>
  <c r="Y22" i="2" s="1"/>
  <c r="H20" i="2"/>
  <c r="H19" i="2"/>
  <c r="H18" i="2"/>
  <c r="J18" i="2" s="1"/>
  <c r="J40" i="2" s="1"/>
  <c r="H15" i="2"/>
  <c r="H14" i="2"/>
  <c r="H13" i="2"/>
  <c r="H11" i="2"/>
  <c r="H10" i="2"/>
  <c r="H26" i="2"/>
  <c r="F24" i="2"/>
  <c r="F22" i="2"/>
  <c r="F20" i="2"/>
  <c r="F19" i="2"/>
  <c r="F18" i="2"/>
  <c r="F15" i="2"/>
  <c r="F14" i="2"/>
  <c r="F13" i="2"/>
  <c r="F10" i="2"/>
  <c r="F26" i="2"/>
  <c r="D24" i="2"/>
  <c r="D22" i="2"/>
  <c r="D19" i="2"/>
  <c r="D18" i="2"/>
  <c r="D15" i="2"/>
  <c r="D14" i="2"/>
  <c r="D13" i="2"/>
  <c r="D10" i="2"/>
  <c r="D26" i="2"/>
  <c r="C11" i="2"/>
  <c r="C12" i="2" s="1"/>
  <c r="C26" i="2"/>
  <c r="C16" i="2"/>
  <c r="E11" i="2"/>
  <c r="E12" i="2" s="1"/>
  <c r="E26" i="2"/>
  <c r="E16" i="2"/>
  <c r="G26" i="2"/>
  <c r="G16" i="2"/>
  <c r="G12" i="2"/>
  <c r="Q40" i="2"/>
  <c r="P40" i="2"/>
  <c r="O40" i="2"/>
  <c r="N40" i="2"/>
  <c r="N36" i="2"/>
  <c r="Q34" i="2"/>
  <c r="P34" i="2"/>
  <c r="M40" i="2"/>
  <c r="M36" i="2"/>
  <c r="M19" i="2"/>
  <c r="L26" i="2"/>
  <c r="L16" i="2"/>
  <c r="L17" i="2" s="1"/>
  <c r="L21" i="2" s="1"/>
  <c r="L23" i="2" s="1"/>
  <c r="L25" i="2" s="1"/>
  <c r="L43" i="2" s="1"/>
  <c r="M26" i="2"/>
  <c r="M16" i="2"/>
  <c r="M17" i="2" s="1"/>
  <c r="M39" i="2" s="1"/>
  <c r="N19" i="2"/>
  <c r="N26" i="2"/>
  <c r="N16" i="2"/>
  <c r="N17" i="2" s="1"/>
  <c r="N39" i="2" s="1"/>
  <c r="O20" i="2"/>
  <c r="D20" i="2" s="1"/>
  <c r="O11" i="2"/>
  <c r="O26" i="2"/>
  <c r="O16" i="2"/>
  <c r="P11" i="2"/>
  <c r="P26" i="2"/>
  <c r="P16" i="2"/>
  <c r="Q26" i="2"/>
  <c r="Q16" i="2"/>
  <c r="Q12" i="2"/>
  <c r="G3" i="1"/>
  <c r="D7" i="1"/>
  <c r="D5" i="1"/>
  <c r="E36" i="2" l="1"/>
  <c r="D37" i="2"/>
  <c r="H38" i="2"/>
  <c r="F37" i="2"/>
  <c r="O12" i="2"/>
  <c r="O36" i="2" s="1"/>
  <c r="O38" i="2"/>
  <c r="R10" i="2"/>
  <c r="H37" i="2"/>
  <c r="P12" i="2"/>
  <c r="P17" i="2" s="1"/>
  <c r="P38" i="2"/>
  <c r="L39" i="2"/>
  <c r="Q17" i="2"/>
  <c r="Q21" i="2" s="1"/>
  <c r="Q23" i="2" s="1"/>
  <c r="Q25" i="2" s="1"/>
  <c r="Q27" i="2" s="1"/>
  <c r="G36" i="2"/>
  <c r="H34" i="2"/>
  <c r="F40" i="2"/>
  <c r="F34" i="2"/>
  <c r="D11" i="2"/>
  <c r="D12" i="2" s="1"/>
  <c r="P35" i="2"/>
  <c r="Q35" i="2"/>
  <c r="L41" i="2"/>
  <c r="H40" i="2"/>
  <c r="L42" i="2"/>
  <c r="F11" i="2"/>
  <c r="F38" i="2" s="1"/>
  <c r="G35" i="2"/>
  <c r="I36" i="2"/>
  <c r="E35" i="2"/>
  <c r="H12" i="2"/>
  <c r="J11" i="2"/>
  <c r="I16" i="2"/>
  <c r="I17" i="2" s="1"/>
  <c r="I39" i="2" s="1"/>
  <c r="D9" i="1"/>
  <c r="Z22" i="2"/>
  <c r="AA22" i="2" s="1"/>
  <c r="AB22" i="2" s="1"/>
  <c r="R18" i="2"/>
  <c r="S18" i="2" s="1"/>
  <c r="T18" i="2" s="1"/>
  <c r="U18" i="2" s="1"/>
  <c r="V18" i="2" s="1"/>
  <c r="W18" i="2" s="1"/>
  <c r="I35" i="2"/>
  <c r="H16" i="2"/>
  <c r="F16" i="2"/>
  <c r="D16" i="2"/>
  <c r="C17" i="2"/>
  <c r="E17" i="2"/>
  <c r="G17" i="2"/>
  <c r="L27" i="2"/>
  <c r="M21" i="2"/>
  <c r="N21" i="2"/>
  <c r="J15" i="2" l="1"/>
  <c r="R15" i="2" s="1"/>
  <c r="P36" i="2"/>
  <c r="F12" i="2"/>
  <c r="H36" i="2" s="1"/>
  <c r="J14" i="2"/>
  <c r="R14" i="2" s="1"/>
  <c r="O17" i="2"/>
  <c r="O39" i="2" s="1"/>
  <c r="J12" i="2"/>
  <c r="J36" i="2" s="1"/>
  <c r="Q36" i="2"/>
  <c r="J34" i="2"/>
  <c r="Q42" i="2"/>
  <c r="Q43" i="2"/>
  <c r="Q41" i="2"/>
  <c r="Q39" i="2"/>
  <c r="H17" i="2"/>
  <c r="H21" i="2" s="1"/>
  <c r="M23" i="2"/>
  <c r="M41" i="2"/>
  <c r="H35" i="2"/>
  <c r="P21" i="2"/>
  <c r="P39" i="2"/>
  <c r="N23" i="2"/>
  <c r="N41" i="2"/>
  <c r="J13" i="2"/>
  <c r="J38" i="2" s="1"/>
  <c r="J35" i="2"/>
  <c r="R11" i="2"/>
  <c r="C21" i="2"/>
  <c r="C39" i="2"/>
  <c r="F35" i="2"/>
  <c r="G21" i="2"/>
  <c r="G39" i="2"/>
  <c r="E21" i="2"/>
  <c r="E39" i="2"/>
  <c r="S10" i="2"/>
  <c r="T10" i="2" s="1"/>
  <c r="R34" i="2"/>
  <c r="I21" i="2"/>
  <c r="I23" i="2" s="1"/>
  <c r="I42" i="2" s="1"/>
  <c r="S40" i="2"/>
  <c r="R40" i="2"/>
  <c r="D17" i="2"/>
  <c r="R37" i="2" l="1"/>
  <c r="O21" i="2"/>
  <c r="O41" i="2" s="1"/>
  <c r="F36" i="2"/>
  <c r="F17" i="2"/>
  <c r="F21" i="2" s="1"/>
  <c r="J37" i="2"/>
  <c r="H39" i="2"/>
  <c r="U10" i="2"/>
  <c r="T34" i="2"/>
  <c r="P23" i="2"/>
  <c r="P41" i="2"/>
  <c r="C23" i="2"/>
  <c r="C41" i="2"/>
  <c r="D21" i="2"/>
  <c r="D39" i="2"/>
  <c r="S11" i="2"/>
  <c r="S12" i="2" s="1"/>
  <c r="R12" i="2"/>
  <c r="R35" i="2"/>
  <c r="E23" i="2"/>
  <c r="E41" i="2"/>
  <c r="G23" i="2"/>
  <c r="G41" i="2"/>
  <c r="M25" i="2"/>
  <c r="M42" i="2"/>
  <c r="R13" i="2"/>
  <c r="R38" i="2" s="1"/>
  <c r="J16" i="2"/>
  <c r="J17" i="2" s="1"/>
  <c r="S34" i="2"/>
  <c r="N25" i="2"/>
  <c r="N42" i="2"/>
  <c r="I41" i="2"/>
  <c r="I25" i="2"/>
  <c r="I43" i="2" s="1"/>
  <c r="T40" i="2"/>
  <c r="U40" i="2"/>
  <c r="H23" i="2"/>
  <c r="H41" i="2"/>
  <c r="O23" i="2" l="1"/>
  <c r="O25" i="2" s="1"/>
  <c r="F39" i="2"/>
  <c r="D23" i="2"/>
  <c r="D41" i="2"/>
  <c r="C25" i="2"/>
  <c r="C42" i="2"/>
  <c r="E25" i="2"/>
  <c r="E42" i="2"/>
  <c r="F23" i="2"/>
  <c r="F41" i="2"/>
  <c r="J21" i="2"/>
  <c r="J39" i="2"/>
  <c r="P25" i="2"/>
  <c r="P42" i="2"/>
  <c r="G25" i="2"/>
  <c r="G42" i="2"/>
  <c r="R16" i="2"/>
  <c r="R17" i="2" s="1"/>
  <c r="R36" i="2"/>
  <c r="N27" i="2"/>
  <c r="N43" i="2"/>
  <c r="T11" i="2"/>
  <c r="S35" i="2"/>
  <c r="S17" i="2"/>
  <c r="S36" i="2"/>
  <c r="M27" i="2"/>
  <c r="M43" i="2"/>
  <c r="V10" i="2"/>
  <c r="U34" i="2"/>
  <c r="I27" i="2"/>
  <c r="V40" i="2"/>
  <c r="H25" i="2"/>
  <c r="H42" i="2"/>
  <c r="O42" i="2" l="1"/>
  <c r="U11" i="2"/>
  <c r="T35" i="2"/>
  <c r="T12" i="2"/>
  <c r="P27" i="2"/>
  <c r="P43" i="2"/>
  <c r="C27" i="2"/>
  <c r="C43" i="2"/>
  <c r="E27" i="2"/>
  <c r="E43" i="2"/>
  <c r="R21" i="2"/>
  <c r="R39" i="2"/>
  <c r="W10" i="2"/>
  <c r="V34" i="2"/>
  <c r="G27" i="2"/>
  <c r="G43" i="2"/>
  <c r="J23" i="2"/>
  <c r="J41" i="2"/>
  <c r="F25" i="2"/>
  <c r="F42" i="2"/>
  <c r="D25" i="2"/>
  <c r="D42" i="2"/>
  <c r="O27" i="2"/>
  <c r="O43" i="2"/>
  <c r="S21" i="2"/>
  <c r="S39" i="2"/>
  <c r="S16" i="2"/>
  <c r="X18" i="2"/>
  <c r="W40" i="2"/>
  <c r="H27" i="2"/>
  <c r="H43" i="2"/>
  <c r="R41" i="2" l="1"/>
  <c r="R23" i="2"/>
  <c r="V11" i="2"/>
  <c r="U35" i="2"/>
  <c r="U12" i="2"/>
  <c r="J24" i="2"/>
  <c r="J25" i="2" s="1"/>
  <c r="S23" i="2"/>
  <c r="S41" i="2"/>
  <c r="X10" i="2"/>
  <c r="W34" i="2"/>
  <c r="D27" i="2"/>
  <c r="D43" i="2"/>
  <c r="F27" i="2"/>
  <c r="F43" i="2"/>
  <c r="T17" i="2"/>
  <c r="T16" i="2" s="1"/>
  <c r="T36" i="2"/>
  <c r="Y18" i="2"/>
  <c r="X40" i="2"/>
  <c r="U17" i="2" l="1"/>
  <c r="U16" i="2" s="1"/>
  <c r="U36" i="2"/>
  <c r="S24" i="2"/>
  <c r="S42" i="2" s="1"/>
  <c r="J43" i="2"/>
  <c r="J27" i="2"/>
  <c r="W11" i="2"/>
  <c r="V35" i="2"/>
  <c r="V12" i="2"/>
  <c r="Y10" i="2"/>
  <c r="X34" i="2"/>
  <c r="J42" i="2"/>
  <c r="R24" i="2"/>
  <c r="T21" i="2"/>
  <c r="T39" i="2"/>
  <c r="Z18" i="2"/>
  <c r="Y40" i="2"/>
  <c r="S25" i="2" l="1"/>
  <c r="S27" i="2" s="1"/>
  <c r="X11" i="2"/>
  <c r="W35" i="2"/>
  <c r="W12" i="2"/>
  <c r="V17" i="2"/>
  <c r="V16" i="2" s="1"/>
  <c r="V36" i="2"/>
  <c r="R42" i="2"/>
  <c r="R25" i="2"/>
  <c r="T23" i="2"/>
  <c r="T41" i="2"/>
  <c r="Z10" i="2"/>
  <c r="Y34" i="2"/>
  <c r="U21" i="2"/>
  <c r="U39" i="2"/>
  <c r="AA18" i="2"/>
  <c r="Z40" i="2"/>
  <c r="S43" i="2" l="1"/>
  <c r="V21" i="2"/>
  <c r="V39" i="2"/>
  <c r="AA10" i="2"/>
  <c r="Z34" i="2"/>
  <c r="W17" i="2"/>
  <c r="W36" i="2"/>
  <c r="W16" i="2"/>
  <c r="U23" i="2"/>
  <c r="U41" i="2"/>
  <c r="T24" i="2"/>
  <c r="T42" i="2" s="1"/>
  <c r="R27" i="2"/>
  <c r="R43" i="2"/>
  <c r="Y11" i="2"/>
  <c r="X35" i="2"/>
  <c r="X12" i="2"/>
  <c r="AB18" i="2"/>
  <c r="AB40" i="2" s="1"/>
  <c r="AA40" i="2"/>
  <c r="T25" i="2" l="1"/>
  <c r="T27" i="2" s="1"/>
  <c r="X17" i="2"/>
  <c r="X36" i="2"/>
  <c r="U24" i="2"/>
  <c r="U42" i="2" s="1"/>
  <c r="W21" i="2"/>
  <c r="W39" i="2"/>
  <c r="V23" i="2"/>
  <c r="V41" i="2"/>
  <c r="Z11" i="2"/>
  <c r="Y35" i="2"/>
  <c r="Y12" i="2"/>
  <c r="AB10" i="2"/>
  <c r="AA34" i="2"/>
  <c r="U25" i="2" l="1"/>
  <c r="U43" i="2" s="1"/>
  <c r="T43" i="2"/>
  <c r="X21" i="2"/>
  <c r="X39" i="2"/>
  <c r="W23" i="2"/>
  <c r="W41" i="2"/>
  <c r="AB34" i="2"/>
  <c r="Y17" i="2"/>
  <c r="Y16" i="2" s="1"/>
  <c r="Y36" i="2"/>
  <c r="V24" i="2"/>
  <c r="V42" i="2" s="1"/>
  <c r="X16" i="2"/>
  <c r="AA11" i="2"/>
  <c r="Z35" i="2"/>
  <c r="Z12" i="2"/>
  <c r="U27" i="2" l="1"/>
  <c r="V25" i="2"/>
  <c r="V43" i="2" s="1"/>
  <c r="AB11" i="2"/>
  <c r="AA35" i="2"/>
  <c r="AA12" i="2"/>
  <c r="W24" i="2"/>
  <c r="W42" i="2" s="1"/>
  <c r="Z17" i="2"/>
  <c r="Z36" i="2"/>
  <c r="Y21" i="2"/>
  <c r="Y39" i="2"/>
  <c r="X23" i="2"/>
  <c r="X41" i="2"/>
  <c r="V27" i="2" l="1"/>
  <c r="W25" i="2"/>
  <c r="X24" i="2"/>
  <c r="X42" i="2" s="1"/>
  <c r="AA17" i="2"/>
  <c r="AA16" i="2"/>
  <c r="AA36" i="2"/>
  <c r="Z21" i="2"/>
  <c r="Z39" i="2"/>
  <c r="Y23" i="2"/>
  <c r="Y41" i="2"/>
  <c r="Z16" i="2"/>
  <c r="AB35" i="2"/>
  <c r="AB12" i="2"/>
  <c r="X25" i="2" l="1"/>
  <c r="X27" i="2" s="1"/>
  <c r="Z23" i="2"/>
  <c r="Z41" i="2"/>
  <c r="AB17" i="2"/>
  <c r="AB16" i="2" s="1"/>
  <c r="AB36" i="2"/>
  <c r="AA21" i="2"/>
  <c r="AA39" i="2"/>
  <c r="Y24" i="2"/>
  <c r="Y42" i="2" s="1"/>
  <c r="W27" i="2"/>
  <c r="W43" i="2"/>
  <c r="X43" i="2" l="1"/>
  <c r="Y25" i="2"/>
  <c r="Y43" i="2" s="1"/>
  <c r="AA23" i="2"/>
  <c r="AA41" i="2"/>
  <c r="AB21" i="2"/>
  <c r="AB39" i="2"/>
  <c r="Z24" i="2"/>
  <c r="Z42" i="2" s="1"/>
  <c r="Y27" i="2" l="1"/>
  <c r="AB23" i="2"/>
  <c r="AB41" i="2"/>
  <c r="Z25" i="2"/>
  <c r="AA24" i="2"/>
  <c r="AA42" i="2" s="1"/>
  <c r="AB24" i="2" l="1"/>
  <c r="AB42" i="2" s="1"/>
  <c r="AA25" i="2"/>
  <c r="Z43" i="2"/>
  <c r="Z27" i="2"/>
  <c r="AA27" i="2" l="1"/>
  <c r="AA43" i="2"/>
  <c r="AB25" i="2"/>
  <c r="AB27" i="2" l="1"/>
  <c r="AC25" i="2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EF25" i="2" s="1"/>
  <c r="EG25" i="2" s="1"/>
  <c r="EH25" i="2" s="1"/>
  <c r="EI25" i="2" s="1"/>
  <c r="EJ25" i="2" s="1"/>
  <c r="EK25" i="2" s="1"/>
  <c r="EL25" i="2" s="1"/>
  <c r="EM25" i="2" s="1"/>
  <c r="EN25" i="2" s="1"/>
  <c r="EO25" i="2" s="1"/>
  <c r="EP25" i="2" s="1"/>
  <c r="EQ25" i="2" s="1"/>
  <c r="AE37" i="2" s="1"/>
  <c r="AE39" i="2" s="1"/>
  <c r="AE40" i="2" s="1"/>
  <c r="AE42" i="2" s="1"/>
  <c r="AB43" i="2"/>
</calcChain>
</file>

<file path=xl/sharedStrings.xml><?xml version="1.0" encoding="utf-8"?>
<sst xmlns="http://schemas.openxmlformats.org/spreadsheetml/2006/main" count="69" uniqueCount="64">
  <si>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</si>
  <si>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</si>
  <si>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</si>
  <si>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</si>
  <si>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</si>
  <si>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</si>
  <si>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</si>
  <si>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</si>
  <si>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</si>
  <si>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</si>
  <si>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Revenue</t>
  </si>
  <si>
    <t>H122</t>
  </si>
  <si>
    <t>H222</t>
  </si>
  <si>
    <t>H123</t>
  </si>
  <si>
    <t>H223</t>
  </si>
  <si>
    <t>H124</t>
  </si>
  <si>
    <t>H224</t>
  </si>
  <si>
    <t>H125</t>
  </si>
  <si>
    <t>H225</t>
  </si>
  <si>
    <t>Interest income</t>
  </si>
  <si>
    <t>Cost of interest</t>
  </si>
  <si>
    <t>Cost of sales</t>
  </si>
  <si>
    <t>Financial cost of sales</t>
  </si>
  <si>
    <t>Total revenue</t>
  </si>
  <si>
    <t>Total cost of sales</t>
  </si>
  <si>
    <t>Gross profit</t>
  </si>
  <si>
    <t>G&amp;A</t>
  </si>
  <si>
    <t>Net interest income</t>
  </si>
  <si>
    <t>Other income</t>
  </si>
  <si>
    <t>Operating profit</t>
  </si>
  <si>
    <t>Finance expense</t>
  </si>
  <si>
    <t>Pretax profit</t>
  </si>
  <si>
    <t>Taxes</t>
  </si>
  <si>
    <t>Net profit</t>
  </si>
  <si>
    <t>EPS</t>
  </si>
  <si>
    <t>Revenue y/y</t>
  </si>
  <si>
    <t>Interest income y/y</t>
  </si>
  <si>
    <t>Total revenue y/y</t>
  </si>
  <si>
    <t>Sales Margin</t>
  </si>
  <si>
    <t>Interest Margin</t>
  </si>
  <si>
    <t>Gross Margin</t>
  </si>
  <si>
    <t>G&amp;A y/y</t>
  </si>
  <si>
    <t>Operating Margin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</si>
  <si>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</si>
  <si>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</si>
  <si>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</si>
  <si>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</si>
  <si>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</si>
  <si>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</si>
  <si>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</si>
  <si>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</si>
  <si>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</si>
  <si>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</si>
  <si>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Undervalued</t>
  </si>
  <si>
    <t>Q1/Q3 cross-border revenue</t>
  </si>
  <si>
    <t>Q2/Q4 cross-border revenue</t>
  </si>
  <si>
    <t>Q1/Q3 card and other revenue</t>
  </si>
  <si>
    <t>Q2/Q4 card and other revenue</t>
  </si>
  <si>
    <t>Q1/Q3 cross-border revenue y/y</t>
  </si>
  <si>
    <t>Q2/Q4 cross-border revenue y/y</t>
  </si>
  <si>
    <t>Q1/Q3 card and other revenue y/y</t>
  </si>
  <si>
    <t>Q2/Q4 card and other revenue y/y</t>
  </si>
  <si>
    <t>Total cross-border revenue</t>
  </si>
  <si>
    <t>Total card and other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</si>
</sst>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2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0</xdr:row>
      <xdr:rowOff>7620</xdr:rowOff>
    </xdr:from>
    <xdr:to>
      <xdr:col>9</xdr:col>
      <xdr:colOff>22860</xdr:colOff>
      <xdr:row>46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2CE1287-4C89-4C9B-E4F0-91A24F88363A}"/>
            </a:ext>
          </a:extLst>
        </xdr:cNvPr>
        <xdr:cNvCxnSpPr/>
      </xdr:nvCxnSpPr>
      <xdr:spPr>
        <a:xfrm>
          <a:off x="7086600" y="7620"/>
          <a:ext cx="0" cy="63169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</xdr:colOff>
      <xdr:row>0</xdr:row>
      <xdr:rowOff>15240</xdr:rowOff>
    </xdr:from>
    <xdr:to>
      <xdr:col>17</xdr:col>
      <xdr:colOff>22860</xdr:colOff>
      <xdr:row>45</xdr:row>
      <xdr:rowOff>175260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7BB963B-932C-28D7-680B-85D009C59075}"/>
            </a:ext>
          </a:extLst>
        </xdr:cNvPr>
        <xdr:cNvCxnSpPr/>
      </xdr:nvCxnSpPr>
      <xdr:spPr>
        <a:xfrm>
          <a:off x="12763500" y="15240"/>
          <a:ext cx="0" cy="60121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FF112-591F-4737-A293-B0DA2A006C30}">
  <dimension ref="C2:H9"/>
  <sheetViews>
    <sheetView workbookViewId="0">
      <selection activeCell="H4" sqref="H4"/>
    </sheetView>
  </sheetViews>
  <sheetFormatPr defaultRowHeight="14.4" x14ac:dyDescent="0.3"/>
  <cols>
    <col min="4" max="4" width="8.88671875" customWidth="1"/>
    <col min="6" max="8" width="14.21875" style="5" customWidth="1"/>
  </cols>
  <sheetData>
    <row r="2" spans="3:8" x14ac:dyDescent="0.3">
      <c r="F2" s="5" t="s">
        <v>7</v>
      </c>
      <c r="G2" s="5" t="s">
        <v>8</v>
      </c>
      <c r="H2" s="5" t="s">
        <v>9</v>
      </c>
    </row>
    <row r="3" spans="3:8" x14ac:dyDescent="0.3">
      <c r="C3" t="s">
        <v>0</v>
      </c>
      <c r="D3" s="1">
        <v>8.98</v>
      </c>
      <c r="F3" s="6">
        <v>45730</v>
      </c>
      <c r="G3" s="6">
        <f ca="1">TODAY()</f>
        <v>45737</v>
      </c>
      <c r="H3" s="6">
        <v>45762</v>
      </c>
    </row>
    <row r="4" spans="3:8" x14ac:dyDescent="0.3">
      <c r="C4" t="s">
        <v>1</v>
      </c>
      <c r="D4" s="2">
        <v>1029.0999999999999</v>
      </c>
      <c r="E4" s="5" t="s">
        <v>17</v>
      </c>
    </row>
    <row r="5" spans="3:8" x14ac:dyDescent="0.3">
      <c r="C5" t="s">
        <v>2</v>
      </c>
      <c r="D5" s="2">
        <f>D3*D4</f>
        <v>9241.3179999999993</v>
      </c>
    </row>
    <row r="6" spans="3:8" x14ac:dyDescent="0.3">
      <c r="C6" t="s">
        <v>3</v>
      </c>
      <c r="D6" s="2">
        <f>4029.6+2.6+1061.2</f>
        <v>5093.3999999999996</v>
      </c>
      <c r="E6" s="5" t="s">
        <v>17</v>
      </c>
    </row>
    <row r="7" spans="3:8" x14ac:dyDescent="0.3">
      <c r="C7" t="s">
        <v>4</v>
      </c>
      <c r="D7" s="2">
        <f>14.8+209.4</f>
        <v>224.20000000000002</v>
      </c>
      <c r="E7" s="5" t="s">
        <v>17</v>
      </c>
    </row>
    <row r="8" spans="3:8" x14ac:dyDescent="0.3">
      <c r="C8" t="s">
        <v>5</v>
      </c>
      <c r="D8" s="2">
        <f>D6-D7</f>
        <v>4869.2</v>
      </c>
    </row>
    <row r="9" spans="3:8" x14ac:dyDescent="0.3">
      <c r="C9" t="s">
        <v>6</v>
      </c>
      <c r="D9" s="2">
        <f>D5-D8</f>
        <v>4372.1179999999995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CC9C-14C1-4CAB-9334-0C94F06D7EEC}">
  <dimension ref="A1:EQ43"/>
  <sheetViews>
    <sheetView tabSelected="1" workbookViewId="0">
      <pane xSplit="2" ySplit="2" topLeftCell="H21" activePane="bottomRight" state="frozen"/>
      <selection pane="topRight" activeCell="C1" sqref="C1"/>
      <selection pane="bottomLeft" activeCell="A3" sqref="A3"/>
      <selection pane="bottomRight" activeCell="B47" sqref="B47"/>
    </sheetView>
  </sheetViews>
  <sheetFormatPr defaultRowHeight="14.4" x14ac:dyDescent="0.3"/>
  <cols>
    <col min="2" max="2" width="29.21875" bestFit="1" customWidth="1"/>
    <col min="3" max="10" width="10.5546875" bestFit="1" customWidth="1"/>
    <col min="12" max="28" width="10.5546875" bestFit="1" customWidth="1"/>
    <col min="30" max="30" width="12.77734375" customWidth="1"/>
    <col min="31" max="31" width="18.109375" customWidth="1"/>
  </cols>
  <sheetData>
    <row r="1" spans="1:28" x14ac:dyDescent="0.3">
      <c r="C1" s="3">
        <v>44469</v>
      </c>
      <c r="D1" s="3">
        <v>44651</v>
      </c>
      <c r="E1" s="3">
        <v>44834</v>
      </c>
      <c r="F1" s="3">
        <v>45016</v>
      </c>
      <c r="G1" s="3">
        <v>45199</v>
      </c>
      <c r="H1" s="3">
        <v>45382</v>
      </c>
      <c r="I1" s="3">
        <v>45565</v>
      </c>
      <c r="J1" s="3">
        <v>45747</v>
      </c>
      <c r="K1" s="3"/>
      <c r="L1" s="3">
        <v>43555</v>
      </c>
      <c r="M1" s="3">
        <v>43921</v>
      </c>
      <c r="N1" s="3">
        <v>44286</v>
      </c>
      <c r="O1" s="3">
        <v>44651</v>
      </c>
      <c r="P1" s="3">
        <v>45016</v>
      </c>
      <c r="Q1" s="3">
        <v>45382</v>
      </c>
      <c r="R1" s="3">
        <v>45747</v>
      </c>
      <c r="S1" s="3">
        <v>46112</v>
      </c>
      <c r="T1" s="3">
        <v>46477</v>
      </c>
      <c r="U1" s="3">
        <v>46843</v>
      </c>
      <c r="V1" s="3">
        <v>47208</v>
      </c>
      <c r="W1" s="3">
        <v>47573</v>
      </c>
      <c r="X1" s="3">
        <v>47938</v>
      </c>
      <c r="Y1" s="3">
        <v>48304</v>
      </c>
      <c r="Z1" s="3">
        <v>48669</v>
      </c>
      <c r="AA1" s="3">
        <v>49034</v>
      </c>
      <c r="AB1" s="3">
        <v>49399</v>
      </c>
    </row>
    <row r="2" spans="1:28" x14ac:dyDescent="0.3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L2">
        <v>2019</v>
      </c>
      <c r="M2">
        <v>2020</v>
      </c>
      <c r="N2">
        <v>2021</v>
      </c>
      <c r="O2">
        <v>2022</v>
      </c>
      <c r="P2">
        <v>2023</v>
      </c>
      <c r="Q2">
        <v>2024</v>
      </c>
      <c r="R2">
        <v>2025</v>
      </c>
      <c r="S2">
        <v>2026</v>
      </c>
      <c r="T2">
        <v>2027</v>
      </c>
      <c r="U2">
        <v>2028</v>
      </c>
      <c r="V2">
        <v>2029</v>
      </c>
      <c r="W2">
        <v>2030</v>
      </c>
      <c r="X2">
        <v>2031</v>
      </c>
      <c r="Y2">
        <v>2032</v>
      </c>
      <c r="Z2">
        <v>2033</v>
      </c>
      <c r="AA2">
        <v>2034</v>
      </c>
      <c r="AB2">
        <v>2035</v>
      </c>
    </row>
    <row r="3" spans="1:28" x14ac:dyDescent="0.3">
      <c r="B3" t="s">
        <v>54</v>
      </c>
      <c r="C3" s="4"/>
      <c r="D3" s="4"/>
      <c r="E3" s="4"/>
      <c r="F3" s="12">
        <v>181.3</v>
      </c>
      <c r="G3" s="12">
        <v>187.9</v>
      </c>
      <c r="H3" s="12">
        <v>206.2</v>
      </c>
      <c r="I3" s="12">
        <v>211.2</v>
      </c>
      <c r="J3" s="12">
        <v>212.9</v>
      </c>
    </row>
    <row r="4" spans="1:28" x14ac:dyDescent="0.3">
      <c r="B4" t="s">
        <v>55</v>
      </c>
      <c r="C4" s="4"/>
      <c r="D4" s="4"/>
      <c r="E4" s="4"/>
      <c r="F4" s="12">
        <v>177.7</v>
      </c>
      <c r="G4" s="12">
        <v>196.5</v>
      </c>
      <c r="H4" s="12">
        <v>204.6</v>
      </c>
      <c r="I4" s="12">
        <v>207.9</v>
      </c>
      <c r="J4" s="12">
        <f>H4*1.03</f>
        <v>210.738</v>
      </c>
    </row>
    <row r="5" spans="1:28" x14ac:dyDescent="0.3">
      <c r="B5" t="s">
        <v>62</v>
      </c>
      <c r="C5" s="4"/>
      <c r="D5" s="4"/>
      <c r="E5" s="4"/>
      <c r="F5" s="12">
        <f t="shared" ref="F5:J5" si="0">F3+F4</f>
        <v>359</v>
      </c>
      <c r="G5" s="12">
        <f t="shared" si="0"/>
        <v>384.4</v>
      </c>
      <c r="H5" s="12">
        <f t="shared" si="0"/>
        <v>410.79999999999995</v>
      </c>
      <c r="I5" s="12">
        <f t="shared" si="0"/>
        <v>419.1</v>
      </c>
      <c r="J5" s="12">
        <f t="shared" si="0"/>
        <v>423.63800000000003</v>
      </c>
      <c r="Q5" s="2">
        <f>G5+H5</f>
        <v>795.19999999999993</v>
      </c>
      <c r="R5" s="2">
        <f>I5+J5</f>
        <v>842.73800000000006</v>
      </c>
    </row>
    <row r="6" spans="1:28" x14ac:dyDescent="0.3">
      <c r="B6" t="s">
        <v>56</v>
      </c>
      <c r="C6" s="4"/>
      <c r="D6" s="4"/>
      <c r="E6" s="4"/>
      <c r="F6" s="12">
        <v>43.9</v>
      </c>
      <c r="G6" s="12">
        <v>51.6</v>
      </c>
      <c r="H6" s="12">
        <v>70.400000000000006</v>
      </c>
      <c r="I6" s="12">
        <v>80</v>
      </c>
      <c r="J6" s="12">
        <v>97.8</v>
      </c>
    </row>
    <row r="7" spans="1:28" x14ac:dyDescent="0.3">
      <c r="B7" t="s">
        <v>57</v>
      </c>
      <c r="C7" s="4"/>
      <c r="D7" s="4"/>
      <c r="E7" s="4"/>
      <c r="F7" s="12">
        <v>45.8</v>
      </c>
      <c r="G7" s="12">
        <v>62.2</v>
      </c>
      <c r="H7" s="12">
        <v>72.599999999999994</v>
      </c>
      <c r="I7" s="12">
        <v>92.8</v>
      </c>
      <c r="J7" s="12">
        <f>H7*1.35</f>
        <v>98.01</v>
      </c>
    </row>
    <row r="8" spans="1:28" x14ac:dyDescent="0.3">
      <c r="B8" t="s">
        <v>63</v>
      </c>
      <c r="C8" s="4"/>
      <c r="D8" s="4"/>
      <c r="E8" s="4"/>
      <c r="F8" s="12">
        <f>F6+F7</f>
        <v>89.699999999999989</v>
      </c>
      <c r="G8" s="12">
        <f>G6+G7</f>
        <v>113.80000000000001</v>
      </c>
      <c r="H8" s="12">
        <f>H6+H7</f>
        <v>143</v>
      </c>
      <c r="I8" s="12">
        <f t="shared" ref="I8:J8" si="1">I6+I7</f>
        <v>172.8</v>
      </c>
      <c r="J8" s="12">
        <f t="shared" si="1"/>
        <v>195.81</v>
      </c>
      <c r="Q8" s="2">
        <f>G8+H8</f>
        <v>256.8</v>
      </c>
      <c r="R8" s="2">
        <f>I8+J8</f>
        <v>368.61</v>
      </c>
    </row>
    <row r="9" spans="1:28" x14ac:dyDescent="0.3">
      <c r="C9" s="4"/>
      <c r="D9" s="4"/>
      <c r="E9" s="4"/>
      <c r="F9" s="4"/>
      <c r="G9" s="4"/>
      <c r="H9" s="4"/>
      <c r="I9" s="4"/>
      <c r="J9" s="4"/>
      <c r="Q9" s="2"/>
      <c r="R9" s="2"/>
    </row>
    <row r="10" spans="1:28" x14ac:dyDescent="0.3">
      <c r="B10" t="s">
        <v>10</v>
      </c>
      <c r="C10" s="2">
        <v>256.3</v>
      </c>
      <c r="D10" s="2">
        <f>O10-C10</f>
        <v>303.59999999999997</v>
      </c>
      <c r="E10" s="2">
        <v>397.4</v>
      </c>
      <c r="F10" s="2">
        <f>P10-E10</f>
        <v>448.70000000000005</v>
      </c>
      <c r="G10" s="2">
        <v>498.2</v>
      </c>
      <c r="H10" s="2">
        <f>Q10-G10</f>
        <v>553.79999999999995</v>
      </c>
      <c r="I10" s="2">
        <v>591.9</v>
      </c>
      <c r="J10" s="2">
        <f>J5+J8</f>
        <v>619.44800000000009</v>
      </c>
      <c r="N10" s="2"/>
      <c r="O10" s="2">
        <v>559.9</v>
      </c>
      <c r="P10" s="2">
        <v>846.1</v>
      </c>
      <c r="Q10" s="2">
        <v>1052</v>
      </c>
      <c r="R10" s="2">
        <f>SUM(I10:J10)</f>
        <v>1211.348</v>
      </c>
      <c r="S10" s="2">
        <f>R10*1.12</f>
        <v>1356.7097600000002</v>
      </c>
      <c r="T10" s="2">
        <f>S10*1.1</f>
        <v>1492.3807360000003</v>
      </c>
      <c r="U10" s="2">
        <f>T10*1.07</f>
        <v>1596.8473875200004</v>
      </c>
      <c r="V10" s="2">
        <f>U10*1.05</f>
        <v>1676.6897568960005</v>
      </c>
      <c r="W10" s="2">
        <f>V10*1.04</f>
        <v>1743.7573471718406</v>
      </c>
      <c r="X10" s="2">
        <f>W10*1.03</f>
        <v>1796.0700675869959</v>
      </c>
      <c r="Y10" s="2">
        <f>X10*1.02</f>
        <v>1831.9914689387358</v>
      </c>
      <c r="Z10" s="2">
        <f t="shared" ref="Z10:AB10" si="2">Y10*1.02</f>
        <v>1868.6312983175105</v>
      </c>
      <c r="AA10" s="2">
        <f t="shared" si="2"/>
        <v>1906.0039242838607</v>
      </c>
      <c r="AB10" s="2">
        <f t="shared" si="2"/>
        <v>1944.1240027695378</v>
      </c>
    </row>
    <row r="11" spans="1:28" x14ac:dyDescent="0.3">
      <c r="B11" t="s">
        <v>19</v>
      </c>
      <c r="C11" s="2">
        <f>1.5-2.7</f>
        <v>-1.2000000000000002</v>
      </c>
      <c r="D11" s="2">
        <f>O11-C11</f>
        <v>-1.6</v>
      </c>
      <c r="E11" s="2">
        <f>22.3-3.6</f>
        <v>18.7</v>
      </c>
      <c r="F11" s="2">
        <f>P11-E11</f>
        <v>117.8</v>
      </c>
      <c r="G11" s="2">
        <v>211.1</v>
      </c>
      <c r="H11" s="2">
        <f>Q11-G11</f>
        <v>274.10000000000002</v>
      </c>
      <c r="I11" s="2">
        <v>300.7</v>
      </c>
      <c r="J11" s="2">
        <f>H11*1.28</f>
        <v>350.84800000000001</v>
      </c>
      <c r="N11" s="2"/>
      <c r="O11" s="2">
        <f>3.9-6.7</f>
        <v>-2.8000000000000003</v>
      </c>
      <c r="P11" s="2">
        <f>140.2-3.7</f>
        <v>136.5</v>
      </c>
      <c r="Q11" s="2">
        <v>485.2</v>
      </c>
      <c r="R11" s="2">
        <f>SUM(I11:J11)</f>
        <v>651.548</v>
      </c>
      <c r="S11" s="2">
        <f>R11*1.15</f>
        <v>749.28019999999992</v>
      </c>
      <c r="T11" s="2">
        <f>S11*1.11</f>
        <v>831.70102199999997</v>
      </c>
      <c r="U11" s="2">
        <f>T11*1.07</f>
        <v>889.92009354000004</v>
      </c>
      <c r="V11" s="2">
        <f>U11*1.03</f>
        <v>916.61769634620009</v>
      </c>
      <c r="W11" s="2">
        <f>V11*1.02</f>
        <v>934.95005027312413</v>
      </c>
      <c r="X11" s="2">
        <f t="shared" ref="X11:AB11" si="3">W11*1.02</f>
        <v>953.64905127858663</v>
      </c>
      <c r="Y11" s="2">
        <f t="shared" si="3"/>
        <v>972.72203230415835</v>
      </c>
      <c r="Z11" s="2">
        <f t="shared" si="3"/>
        <v>992.17647295024153</v>
      </c>
      <c r="AA11" s="2">
        <f t="shared" si="3"/>
        <v>1012.0200024092463</v>
      </c>
      <c r="AB11" s="2">
        <f t="shared" si="3"/>
        <v>1032.2604024574314</v>
      </c>
    </row>
    <row r="12" spans="1:28" s="8" customFormat="1" x14ac:dyDescent="0.3">
      <c r="A12"/>
      <c r="B12" s="8" t="s">
        <v>23</v>
      </c>
      <c r="C12" s="9">
        <f t="shared" ref="C12:H12" si="4">C10+C11</f>
        <v>255.10000000000002</v>
      </c>
      <c r="D12" s="9">
        <f t="shared" si="4"/>
        <v>301.99999999999994</v>
      </c>
      <c r="E12" s="9">
        <f t="shared" si="4"/>
        <v>416.09999999999997</v>
      </c>
      <c r="F12" s="9">
        <f t="shared" si="4"/>
        <v>566.5</v>
      </c>
      <c r="G12" s="9">
        <f t="shared" si="4"/>
        <v>709.3</v>
      </c>
      <c r="H12" s="9">
        <f t="shared" si="4"/>
        <v>827.9</v>
      </c>
      <c r="I12" s="9">
        <f t="shared" ref="I12:J12" si="5">I10+I11</f>
        <v>892.59999999999991</v>
      </c>
      <c r="J12" s="9">
        <f t="shared" si="5"/>
        <v>970.29600000000005</v>
      </c>
      <c r="L12" s="9">
        <v>177.9</v>
      </c>
      <c r="M12" s="9">
        <v>302.60000000000002</v>
      </c>
      <c r="N12" s="9">
        <v>421</v>
      </c>
      <c r="O12" s="9">
        <f>O10+O11</f>
        <v>557.1</v>
      </c>
      <c r="P12" s="9">
        <f>P10+P11</f>
        <v>982.6</v>
      </c>
      <c r="Q12" s="9">
        <f>Q10+Q11</f>
        <v>1537.2</v>
      </c>
      <c r="R12" s="9">
        <f>R10+R11</f>
        <v>1862.896</v>
      </c>
      <c r="S12" s="9">
        <f>S10+S11</f>
        <v>2105.9899599999999</v>
      </c>
      <c r="T12" s="9">
        <f t="shared" ref="T12:AB12" si="6">T10+T11</f>
        <v>2324.0817580000003</v>
      </c>
      <c r="U12" s="9">
        <f t="shared" si="6"/>
        <v>2486.7674810600006</v>
      </c>
      <c r="V12" s="9">
        <f t="shared" si="6"/>
        <v>2593.3074532422006</v>
      </c>
      <c r="W12" s="9">
        <f t="shared" si="6"/>
        <v>2678.707397444965</v>
      </c>
      <c r="X12" s="9">
        <f t="shared" si="6"/>
        <v>2749.7191188655825</v>
      </c>
      <c r="Y12" s="9">
        <f t="shared" si="6"/>
        <v>2804.7135012428944</v>
      </c>
      <c r="Z12" s="9">
        <f t="shared" si="6"/>
        <v>2860.8077712677523</v>
      </c>
      <c r="AA12" s="9">
        <f t="shared" si="6"/>
        <v>2918.0239266931071</v>
      </c>
      <c r="AB12" s="9">
        <f t="shared" si="6"/>
        <v>2976.3844052269692</v>
      </c>
    </row>
    <row r="13" spans="1:28" x14ac:dyDescent="0.3">
      <c r="B13" t="s">
        <v>20</v>
      </c>
      <c r="C13" s="2">
        <v>0</v>
      </c>
      <c r="D13" s="2">
        <f>O13-C13</f>
        <v>0</v>
      </c>
      <c r="E13" s="2">
        <v>0</v>
      </c>
      <c r="F13" s="2">
        <f>P13-E13</f>
        <v>18.399999999999999</v>
      </c>
      <c r="G13" s="2">
        <v>53.3</v>
      </c>
      <c r="H13" s="2">
        <f>Q13-G13</f>
        <v>71.600000000000009</v>
      </c>
      <c r="I13" s="2">
        <v>84.8</v>
      </c>
      <c r="J13" s="2">
        <f>J11*0.26</f>
        <v>91.220480000000009</v>
      </c>
      <c r="L13" s="2"/>
      <c r="M13" s="2"/>
      <c r="N13" s="2"/>
      <c r="O13" s="2">
        <v>0</v>
      </c>
      <c r="P13" s="2">
        <v>18.399999999999999</v>
      </c>
      <c r="Q13" s="2">
        <v>124.9</v>
      </c>
      <c r="R13" s="2">
        <f>SUM(I13:J13)</f>
        <v>176.02048000000002</v>
      </c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3">
      <c r="B14" t="s">
        <v>21</v>
      </c>
      <c r="C14" s="2">
        <v>81.2</v>
      </c>
      <c r="D14" s="2">
        <f>O14-C14</f>
        <v>104.60000000000001</v>
      </c>
      <c r="E14" s="2">
        <v>148.5</v>
      </c>
      <c r="F14" s="2">
        <f>P14-E14</f>
        <v>159.69999999999999</v>
      </c>
      <c r="G14" s="2">
        <v>160.69999999999999</v>
      </c>
      <c r="H14" s="2">
        <f>Q14-G14</f>
        <v>146.69999999999999</v>
      </c>
      <c r="I14" s="2">
        <v>152.9</v>
      </c>
      <c r="J14" s="2">
        <f>J10*0.26</f>
        <v>161.05648000000002</v>
      </c>
      <c r="L14" s="2">
        <v>66.5</v>
      </c>
      <c r="M14" s="2">
        <v>111.4</v>
      </c>
      <c r="N14" s="2">
        <v>151.69999999999999</v>
      </c>
      <c r="O14" s="2">
        <v>185.8</v>
      </c>
      <c r="P14" s="2">
        <v>308.2</v>
      </c>
      <c r="Q14" s="2">
        <v>307.39999999999998</v>
      </c>
      <c r="R14" s="2">
        <f>SUM(I14:J14)</f>
        <v>313.95648000000006</v>
      </c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3">
      <c r="B15" t="s">
        <v>22</v>
      </c>
      <c r="C15" s="2">
        <v>1.3</v>
      </c>
      <c r="D15" s="2">
        <f>O15-C15</f>
        <v>0.90000000000000013</v>
      </c>
      <c r="E15" s="2">
        <v>5.2</v>
      </c>
      <c r="F15" s="2">
        <f>P15-E15</f>
        <v>12.600000000000001</v>
      </c>
      <c r="G15" s="2">
        <v>6.4</v>
      </c>
      <c r="H15" s="2">
        <f>Q15-G15</f>
        <v>6.1</v>
      </c>
      <c r="I15" s="2">
        <v>4.5</v>
      </c>
      <c r="J15" s="2">
        <f>J10*0.01</f>
        <v>6.1944800000000013</v>
      </c>
      <c r="L15" s="2">
        <v>1</v>
      </c>
      <c r="M15" s="2">
        <v>3.1</v>
      </c>
      <c r="N15" s="2">
        <v>8.8000000000000007</v>
      </c>
      <c r="O15" s="2">
        <v>2.2000000000000002</v>
      </c>
      <c r="P15" s="2">
        <v>17.8</v>
      </c>
      <c r="Q15" s="2">
        <v>12.5</v>
      </c>
      <c r="R15" s="2">
        <f>SUM(I15:J15)</f>
        <v>10.694480000000002</v>
      </c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3">
      <c r="B16" t="s">
        <v>24</v>
      </c>
      <c r="C16" s="2">
        <f t="shared" ref="C16:H16" si="7">C13+C14+C15</f>
        <v>82.5</v>
      </c>
      <c r="D16" s="2">
        <f t="shared" si="7"/>
        <v>105.50000000000001</v>
      </c>
      <c r="E16" s="2">
        <f t="shared" si="7"/>
        <v>153.69999999999999</v>
      </c>
      <c r="F16" s="2">
        <f t="shared" si="7"/>
        <v>190.7</v>
      </c>
      <c r="G16" s="2">
        <f t="shared" si="7"/>
        <v>220.4</v>
      </c>
      <c r="H16" s="2">
        <f t="shared" si="7"/>
        <v>224.4</v>
      </c>
      <c r="I16" s="2">
        <f t="shared" ref="I16:J16" si="8">I13+I14+I15</f>
        <v>242.2</v>
      </c>
      <c r="J16" s="2">
        <f t="shared" si="8"/>
        <v>258.47144000000003</v>
      </c>
      <c r="L16" s="2">
        <f t="shared" ref="L16:R16" si="9">L13+L14+L15</f>
        <v>67.5</v>
      </c>
      <c r="M16" s="2">
        <f t="shared" si="9"/>
        <v>114.5</v>
      </c>
      <c r="N16" s="2">
        <f t="shared" si="9"/>
        <v>160.5</v>
      </c>
      <c r="O16" s="2">
        <f t="shared" si="9"/>
        <v>188</v>
      </c>
      <c r="P16" s="2">
        <f t="shared" si="9"/>
        <v>344.4</v>
      </c>
      <c r="Q16" s="2">
        <f t="shared" si="9"/>
        <v>444.79999999999995</v>
      </c>
      <c r="R16" s="2">
        <f t="shared" si="9"/>
        <v>500.67144000000008</v>
      </c>
      <c r="S16" s="2">
        <f>S12-S17</f>
        <v>547.55738960000008</v>
      </c>
      <c r="T16" s="2">
        <f t="shared" ref="T16:AB16" si="10">T12-T17</f>
        <v>604.26125708000018</v>
      </c>
      <c r="U16" s="2">
        <f t="shared" si="10"/>
        <v>646.55954507560023</v>
      </c>
      <c r="V16" s="2">
        <f t="shared" si="10"/>
        <v>674.25993784297225</v>
      </c>
      <c r="W16" s="2">
        <f t="shared" si="10"/>
        <v>696.46392333569088</v>
      </c>
      <c r="X16" s="2">
        <f t="shared" si="10"/>
        <v>714.92697090505158</v>
      </c>
      <c r="Y16" s="2">
        <f t="shared" si="10"/>
        <v>729.22551032315278</v>
      </c>
      <c r="Z16" s="2">
        <f t="shared" si="10"/>
        <v>743.81002052961549</v>
      </c>
      <c r="AA16" s="2">
        <f t="shared" si="10"/>
        <v>758.68622094020793</v>
      </c>
      <c r="AB16" s="2">
        <f t="shared" si="10"/>
        <v>773.85994535901182</v>
      </c>
    </row>
    <row r="17" spans="1:147" s="8" customFormat="1" x14ac:dyDescent="0.3">
      <c r="A17"/>
      <c r="B17" s="8" t="s">
        <v>25</v>
      </c>
      <c r="C17" s="9">
        <f t="shared" ref="C17:H17" si="11">C12-C16</f>
        <v>172.60000000000002</v>
      </c>
      <c r="D17" s="9">
        <f t="shared" si="11"/>
        <v>196.49999999999994</v>
      </c>
      <c r="E17" s="9">
        <f t="shared" si="11"/>
        <v>262.39999999999998</v>
      </c>
      <c r="F17" s="9">
        <f t="shared" si="11"/>
        <v>375.8</v>
      </c>
      <c r="G17" s="9">
        <f t="shared" si="11"/>
        <v>488.9</v>
      </c>
      <c r="H17" s="9">
        <f t="shared" si="11"/>
        <v>603.5</v>
      </c>
      <c r="I17" s="9">
        <f t="shared" ref="I17:J17" si="12">I12-I16</f>
        <v>650.39999999999986</v>
      </c>
      <c r="J17" s="9">
        <f t="shared" si="12"/>
        <v>711.82456000000002</v>
      </c>
      <c r="L17" s="9">
        <f t="shared" ref="L17:R17" si="13">L12-L16</f>
        <v>110.4</v>
      </c>
      <c r="M17" s="9">
        <f t="shared" si="13"/>
        <v>188.10000000000002</v>
      </c>
      <c r="N17" s="9">
        <f t="shared" si="13"/>
        <v>260.5</v>
      </c>
      <c r="O17" s="9">
        <f t="shared" si="13"/>
        <v>369.1</v>
      </c>
      <c r="P17" s="9">
        <f t="shared" si="13"/>
        <v>638.20000000000005</v>
      </c>
      <c r="Q17" s="9">
        <f t="shared" si="13"/>
        <v>1092.4000000000001</v>
      </c>
      <c r="R17" s="9">
        <f t="shared" si="13"/>
        <v>1362.2245599999999</v>
      </c>
      <c r="S17" s="9">
        <f>S12*0.74</f>
        <v>1558.4325703999998</v>
      </c>
      <c r="T17" s="9">
        <f t="shared" ref="T17:AB17" si="14">T12*0.74</f>
        <v>1719.8205009200001</v>
      </c>
      <c r="U17" s="9">
        <f t="shared" si="14"/>
        <v>1840.2079359844004</v>
      </c>
      <c r="V17" s="9">
        <f t="shared" si="14"/>
        <v>1919.0475153992284</v>
      </c>
      <c r="W17" s="9">
        <f t="shared" si="14"/>
        <v>1982.2434741092741</v>
      </c>
      <c r="X17" s="9">
        <f t="shared" si="14"/>
        <v>2034.7921479605309</v>
      </c>
      <c r="Y17" s="9">
        <f t="shared" si="14"/>
        <v>2075.4879909197416</v>
      </c>
      <c r="Z17" s="9">
        <f t="shared" si="14"/>
        <v>2116.9977507381368</v>
      </c>
      <c r="AA17" s="9">
        <f t="shared" si="14"/>
        <v>2159.3377057528992</v>
      </c>
      <c r="AB17" s="9">
        <f t="shared" si="14"/>
        <v>2202.5244598679574</v>
      </c>
    </row>
    <row r="18" spans="1:147" x14ac:dyDescent="0.3">
      <c r="B18" t="s">
        <v>26</v>
      </c>
      <c r="C18" s="2">
        <v>152.19999999999999</v>
      </c>
      <c r="D18" s="2">
        <f>O18-C18</f>
        <v>169.2</v>
      </c>
      <c r="E18" s="2">
        <v>214.9</v>
      </c>
      <c r="F18" s="2">
        <f>P18-E18</f>
        <v>279.60000000000002</v>
      </c>
      <c r="G18" s="2">
        <v>296.5</v>
      </c>
      <c r="H18" s="2">
        <f>Q18-G18</f>
        <v>319.39999999999998</v>
      </c>
      <c r="I18" s="2">
        <v>366.7</v>
      </c>
      <c r="J18" s="2">
        <f>H18*1.19</f>
        <v>380.08599999999996</v>
      </c>
      <c r="L18" s="2">
        <v>99.5</v>
      </c>
      <c r="M18" s="2">
        <v>168.8</v>
      </c>
      <c r="N18" s="2">
        <v>217.5</v>
      </c>
      <c r="O18" s="2">
        <v>321.39999999999998</v>
      </c>
      <c r="P18" s="2">
        <v>494.5</v>
      </c>
      <c r="Q18" s="2">
        <v>615.9</v>
      </c>
      <c r="R18" s="2">
        <f>SUM(I18:J18)</f>
        <v>746.78599999999994</v>
      </c>
      <c r="S18" s="2">
        <f>R18*1.15</f>
        <v>858.80389999999989</v>
      </c>
      <c r="T18" s="2">
        <f>S18*1.12</f>
        <v>961.86036799999999</v>
      </c>
      <c r="U18" s="2">
        <f>T18*1.08</f>
        <v>1038.8091974400002</v>
      </c>
      <c r="V18" s="2">
        <f>U18*1.04</f>
        <v>1080.3615653376003</v>
      </c>
      <c r="W18" s="2">
        <f>V18*1.03</f>
        <v>1112.7724122977284</v>
      </c>
      <c r="X18" s="2">
        <f>W18*1.02</f>
        <v>1135.0278605436829</v>
      </c>
      <c r="Y18" s="2">
        <f t="shared" ref="Y18:AB18" si="15">X18*1.02</f>
        <v>1157.7284177545566</v>
      </c>
      <c r="Z18" s="2">
        <f t="shared" si="15"/>
        <v>1180.8829861096478</v>
      </c>
      <c r="AA18" s="2">
        <f t="shared" si="15"/>
        <v>1204.5006458318408</v>
      </c>
      <c r="AB18" s="2">
        <f t="shared" si="15"/>
        <v>1228.5906587484776</v>
      </c>
    </row>
    <row r="19" spans="1:147" x14ac:dyDescent="0.3">
      <c r="B19" t="s">
        <v>27</v>
      </c>
      <c r="C19" s="2">
        <v>0</v>
      </c>
      <c r="D19" s="2">
        <f>O19-C19</f>
        <v>0</v>
      </c>
      <c r="E19" s="2">
        <v>-0.3</v>
      </c>
      <c r="F19" s="2">
        <f>P19-E19</f>
        <v>-2.5</v>
      </c>
      <c r="G19" s="2">
        <v>-7.3</v>
      </c>
      <c r="H19" s="2">
        <f>Q19-G19</f>
        <v>-12.399999999999999</v>
      </c>
      <c r="I19" s="2">
        <v>-15.9</v>
      </c>
      <c r="J19" s="2">
        <v>-18</v>
      </c>
      <c r="L19" s="2">
        <v>-0.9</v>
      </c>
      <c r="M19" s="2">
        <f>-5.4+1.3</f>
        <v>-4.1000000000000005</v>
      </c>
      <c r="N19" s="2">
        <f>-1.9+3.8</f>
        <v>1.9</v>
      </c>
      <c r="O19" s="2">
        <v>0</v>
      </c>
      <c r="P19" s="2">
        <v>-2.8</v>
      </c>
      <c r="Q19" s="2">
        <v>-19.7</v>
      </c>
      <c r="R19" s="2">
        <f>SUM(I19:J19)</f>
        <v>-33.9</v>
      </c>
      <c r="S19" s="2">
        <f>R19*1.03</f>
        <v>-34.917000000000002</v>
      </c>
      <c r="T19" s="2">
        <f t="shared" ref="T19:AB19" si="16">S19*1.03</f>
        <v>-35.964510000000004</v>
      </c>
      <c r="U19" s="2">
        <f t="shared" si="16"/>
        <v>-37.043445300000002</v>
      </c>
      <c r="V19" s="2">
        <f t="shared" si="16"/>
        <v>-38.154748659000006</v>
      </c>
      <c r="W19" s="2">
        <f t="shared" si="16"/>
        <v>-39.299391118770011</v>
      </c>
      <c r="X19" s="2">
        <f t="shared" si="16"/>
        <v>-40.478372852333109</v>
      </c>
      <c r="Y19" s="2">
        <f t="shared" si="16"/>
        <v>-41.692724037903105</v>
      </c>
      <c r="Z19" s="2">
        <f t="shared" si="16"/>
        <v>-42.9435057590402</v>
      </c>
      <c r="AA19" s="2">
        <f t="shared" si="16"/>
        <v>-44.23181093181141</v>
      </c>
      <c r="AB19" s="2">
        <f t="shared" si="16"/>
        <v>-45.558765259765757</v>
      </c>
    </row>
    <row r="20" spans="1:147" x14ac:dyDescent="0.3">
      <c r="B20" t="s">
        <v>28</v>
      </c>
      <c r="C20" s="2">
        <v>-0.9</v>
      </c>
      <c r="D20" s="2">
        <f>O20-C20</f>
        <v>-9.9999999999999978E-2</v>
      </c>
      <c r="E20" s="2">
        <v>-7.2</v>
      </c>
      <c r="F20" s="2">
        <f>P20-E20</f>
        <v>-3.4999999999999991</v>
      </c>
      <c r="G20" s="2">
        <v>-3.9</v>
      </c>
      <c r="H20" s="2">
        <f>Q20-G20</f>
        <v>-1.8000000000000003</v>
      </c>
      <c r="I20" s="2">
        <v>-2.2999999999999998</v>
      </c>
      <c r="J20" s="2">
        <v>-3</v>
      </c>
      <c r="L20" s="2">
        <v>-0.4</v>
      </c>
      <c r="M20" s="2">
        <v>0.2</v>
      </c>
      <c r="N20" s="2">
        <v>-3.8</v>
      </c>
      <c r="O20" s="2">
        <f>-5.8+4.8</f>
        <v>-1</v>
      </c>
      <c r="P20" s="2">
        <v>-10.7</v>
      </c>
      <c r="Q20" s="2">
        <v>-5.7</v>
      </c>
      <c r="R20" s="2">
        <f>SUM(I20:J20)</f>
        <v>-5.3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</row>
    <row r="21" spans="1:147" s="8" customFormat="1" x14ac:dyDescent="0.3">
      <c r="A21"/>
      <c r="B21" s="8" t="s">
        <v>29</v>
      </c>
      <c r="C21" s="9">
        <f t="shared" ref="C21:J21" si="17">C17-C18-C19-C20</f>
        <v>21.300000000000033</v>
      </c>
      <c r="D21" s="9">
        <f t="shared" si="17"/>
        <v>27.399999999999956</v>
      </c>
      <c r="E21" s="9">
        <f t="shared" si="17"/>
        <v>54.999999999999972</v>
      </c>
      <c r="F21" s="9">
        <f t="shared" si="17"/>
        <v>102.19999999999999</v>
      </c>
      <c r="G21" s="9">
        <f t="shared" si="17"/>
        <v>203.6</v>
      </c>
      <c r="H21" s="9">
        <f t="shared" si="17"/>
        <v>298.3</v>
      </c>
      <c r="I21" s="9">
        <f t="shared" si="17"/>
        <v>301.89999999999986</v>
      </c>
      <c r="J21" s="9">
        <f t="shared" si="17"/>
        <v>352.73856000000006</v>
      </c>
      <c r="L21" s="9">
        <f t="shared" ref="L21:S21" si="18">L17-L18-L19-L20</f>
        <v>12.200000000000006</v>
      </c>
      <c r="M21" s="9">
        <f t="shared" si="18"/>
        <v>23.200000000000014</v>
      </c>
      <c r="N21" s="9">
        <f t="shared" si="18"/>
        <v>44.9</v>
      </c>
      <c r="O21" s="9">
        <f t="shared" si="18"/>
        <v>48.700000000000045</v>
      </c>
      <c r="P21" s="9">
        <f t="shared" si="18"/>
        <v>157.20000000000005</v>
      </c>
      <c r="Q21" s="9">
        <f t="shared" si="18"/>
        <v>501.90000000000009</v>
      </c>
      <c r="R21" s="9">
        <f t="shared" si="18"/>
        <v>654.63855999999987</v>
      </c>
      <c r="S21" s="9">
        <f t="shared" si="18"/>
        <v>734.54567039999995</v>
      </c>
      <c r="T21" s="9">
        <f t="shared" ref="T21:AB21" si="19">T17-T18-T19-T20</f>
        <v>793.92464292000011</v>
      </c>
      <c r="U21" s="9">
        <f t="shared" si="19"/>
        <v>838.44218384440023</v>
      </c>
      <c r="V21" s="9">
        <f t="shared" si="19"/>
        <v>876.8406987206281</v>
      </c>
      <c r="W21" s="9">
        <f t="shared" si="19"/>
        <v>908.77045293031574</v>
      </c>
      <c r="X21" s="9">
        <f t="shared" si="19"/>
        <v>940.2426602691811</v>
      </c>
      <c r="Y21" s="9">
        <f t="shared" si="19"/>
        <v>959.45229720308805</v>
      </c>
      <c r="Z21" s="9">
        <f t="shared" si="19"/>
        <v>979.05827038752921</v>
      </c>
      <c r="AA21" s="9">
        <f t="shared" si="19"/>
        <v>999.06887085286985</v>
      </c>
      <c r="AB21" s="9">
        <f t="shared" si="19"/>
        <v>1019.4925663792455</v>
      </c>
    </row>
    <row r="22" spans="1:147" x14ac:dyDescent="0.3">
      <c r="B22" t="s">
        <v>30</v>
      </c>
      <c r="C22" s="2">
        <v>2.5</v>
      </c>
      <c r="D22" s="2">
        <f>O22-C22</f>
        <v>2.2999999999999998</v>
      </c>
      <c r="E22" s="2">
        <v>3.7</v>
      </c>
      <c r="F22" s="2">
        <f>P22-E22</f>
        <v>6.9999999999999991</v>
      </c>
      <c r="G22" s="2">
        <v>9.3000000000000007</v>
      </c>
      <c r="H22" s="2">
        <f>Q22-G22</f>
        <v>11.2</v>
      </c>
      <c r="I22" s="2">
        <v>9.4</v>
      </c>
      <c r="J22" s="2">
        <f>H22*1.05</f>
        <v>11.76</v>
      </c>
      <c r="L22" s="2">
        <v>2.1</v>
      </c>
      <c r="M22" s="2">
        <v>3.2</v>
      </c>
      <c r="N22" s="2">
        <v>3.8</v>
      </c>
      <c r="O22" s="2">
        <v>4.8</v>
      </c>
      <c r="P22" s="2">
        <v>10.7</v>
      </c>
      <c r="Q22" s="2">
        <v>20.5</v>
      </c>
      <c r="R22" s="2">
        <f>SUM(I22:J22)</f>
        <v>21.16</v>
      </c>
      <c r="S22" s="2">
        <f>R22*1.03</f>
        <v>21.794800000000002</v>
      </c>
      <c r="T22" s="2">
        <f t="shared" ref="T22:AB22" si="20">S22*1.03</f>
        <v>22.448644000000002</v>
      </c>
      <c r="U22" s="2">
        <f t="shared" si="20"/>
        <v>23.122103320000001</v>
      </c>
      <c r="V22" s="2">
        <f t="shared" si="20"/>
        <v>23.815766419600003</v>
      </c>
      <c r="W22" s="2">
        <f t="shared" si="20"/>
        <v>24.530239412188003</v>
      </c>
      <c r="X22" s="2">
        <f t="shared" si="20"/>
        <v>25.266146594553643</v>
      </c>
      <c r="Y22" s="2">
        <f t="shared" si="20"/>
        <v>26.024130992390251</v>
      </c>
      <c r="Z22" s="2">
        <f t="shared" si="20"/>
        <v>26.804854922161958</v>
      </c>
      <c r="AA22" s="2">
        <f t="shared" si="20"/>
        <v>27.609000569826819</v>
      </c>
      <c r="AB22" s="2">
        <f t="shared" si="20"/>
        <v>28.437270586921624</v>
      </c>
    </row>
    <row r="23" spans="1:147" s="8" customFormat="1" x14ac:dyDescent="0.3">
      <c r="A23"/>
      <c r="B23" s="8" t="s">
        <v>31</v>
      </c>
      <c r="C23" s="9">
        <f t="shared" ref="C23:H23" si="21">C21-C22</f>
        <v>18.800000000000033</v>
      </c>
      <c r="D23" s="9">
        <f t="shared" si="21"/>
        <v>25.099999999999955</v>
      </c>
      <c r="E23" s="9">
        <f t="shared" si="21"/>
        <v>51.299999999999969</v>
      </c>
      <c r="F23" s="9">
        <f t="shared" si="21"/>
        <v>95.199999999999989</v>
      </c>
      <c r="G23" s="9">
        <f t="shared" si="21"/>
        <v>194.29999999999998</v>
      </c>
      <c r="H23" s="9">
        <f t="shared" si="21"/>
        <v>287.10000000000002</v>
      </c>
      <c r="I23" s="9">
        <f t="shared" ref="I23:J23" si="22">I21-I22</f>
        <v>292.49999999999989</v>
      </c>
      <c r="J23" s="9">
        <f t="shared" si="22"/>
        <v>340.97856000000007</v>
      </c>
      <c r="L23" s="9">
        <f t="shared" ref="L23:S23" si="23">L21-L22</f>
        <v>10.100000000000007</v>
      </c>
      <c r="M23" s="9">
        <f t="shared" si="23"/>
        <v>20.000000000000014</v>
      </c>
      <c r="N23" s="9">
        <f t="shared" si="23"/>
        <v>41.1</v>
      </c>
      <c r="O23" s="9">
        <f t="shared" si="23"/>
        <v>43.900000000000048</v>
      </c>
      <c r="P23" s="9">
        <f t="shared" si="23"/>
        <v>146.50000000000006</v>
      </c>
      <c r="Q23" s="9">
        <f t="shared" si="23"/>
        <v>481.40000000000009</v>
      </c>
      <c r="R23" s="9">
        <f t="shared" si="23"/>
        <v>633.4785599999999</v>
      </c>
      <c r="S23" s="9">
        <f t="shared" si="23"/>
        <v>712.75087039999994</v>
      </c>
      <c r="T23" s="9">
        <f t="shared" ref="T23:AB23" si="24">T21-T22</f>
        <v>771.47599892000017</v>
      </c>
      <c r="U23" s="9">
        <f t="shared" si="24"/>
        <v>815.32008052440028</v>
      </c>
      <c r="V23" s="9">
        <f t="shared" si="24"/>
        <v>853.02493230102812</v>
      </c>
      <c r="W23" s="9">
        <f t="shared" si="24"/>
        <v>884.24021351812769</v>
      </c>
      <c r="X23" s="9">
        <f t="shared" si="24"/>
        <v>914.97651367462743</v>
      </c>
      <c r="Y23" s="9">
        <f t="shared" si="24"/>
        <v>933.42816621069778</v>
      </c>
      <c r="Z23" s="9">
        <f t="shared" si="24"/>
        <v>952.2534154653672</v>
      </c>
      <c r="AA23" s="9">
        <f t="shared" si="24"/>
        <v>971.45987028304307</v>
      </c>
      <c r="AB23" s="9">
        <f t="shared" si="24"/>
        <v>991.05529579232393</v>
      </c>
    </row>
    <row r="24" spans="1:147" x14ac:dyDescent="0.3">
      <c r="B24" t="s">
        <v>32</v>
      </c>
      <c r="C24" s="2">
        <v>6.1</v>
      </c>
      <c r="D24" s="2">
        <f>O24-C24</f>
        <v>4.9000000000000004</v>
      </c>
      <c r="E24" s="2">
        <v>14</v>
      </c>
      <c r="F24" s="2">
        <f>P24-E24</f>
        <v>18.5</v>
      </c>
      <c r="G24" s="2">
        <v>53.7</v>
      </c>
      <c r="H24" s="2">
        <f>Q24-G24</f>
        <v>73.099999999999994</v>
      </c>
      <c r="I24" s="2">
        <v>75.2</v>
      </c>
      <c r="J24" s="2">
        <f>J23*0.25</f>
        <v>85.244640000000018</v>
      </c>
      <c r="L24" s="2">
        <v>-0.2</v>
      </c>
      <c r="M24" s="2">
        <v>5.4</v>
      </c>
      <c r="N24" s="2">
        <v>10.199999999999999</v>
      </c>
      <c r="O24" s="2">
        <v>11</v>
      </c>
      <c r="P24" s="2">
        <v>32.5</v>
      </c>
      <c r="Q24" s="2">
        <v>126.8</v>
      </c>
      <c r="R24" s="2">
        <f>SUM(I24:J24)</f>
        <v>160.44464000000002</v>
      </c>
      <c r="S24" s="2">
        <f>S23*0.25</f>
        <v>178.18771759999998</v>
      </c>
      <c r="T24" s="2">
        <f t="shared" ref="T24:AB24" si="25">T23*0.25</f>
        <v>192.86899973000004</v>
      </c>
      <c r="U24" s="2">
        <f t="shared" si="25"/>
        <v>203.83002013110007</v>
      </c>
      <c r="V24" s="2">
        <f t="shared" si="25"/>
        <v>213.25623307525703</v>
      </c>
      <c r="W24" s="2">
        <f t="shared" si="25"/>
        <v>221.06005337953192</v>
      </c>
      <c r="X24" s="2">
        <f t="shared" si="25"/>
        <v>228.74412841865686</v>
      </c>
      <c r="Y24" s="2">
        <f t="shared" si="25"/>
        <v>233.35704155267445</v>
      </c>
      <c r="Z24" s="2">
        <f t="shared" si="25"/>
        <v>238.0633538663418</v>
      </c>
      <c r="AA24" s="2">
        <f t="shared" si="25"/>
        <v>242.86496757076077</v>
      </c>
      <c r="AB24" s="2">
        <f t="shared" si="25"/>
        <v>247.76382394808098</v>
      </c>
    </row>
    <row r="25" spans="1:147" s="8" customFormat="1" x14ac:dyDescent="0.3">
      <c r="A25"/>
      <c r="B25" s="8" t="s">
        <v>33</v>
      </c>
      <c r="C25" s="9">
        <f t="shared" ref="C25:H25" si="26">C23-C24</f>
        <v>12.700000000000033</v>
      </c>
      <c r="D25" s="9">
        <f t="shared" si="26"/>
        <v>20.199999999999953</v>
      </c>
      <c r="E25" s="9">
        <f t="shared" si="26"/>
        <v>37.299999999999969</v>
      </c>
      <c r="F25" s="9">
        <f t="shared" si="26"/>
        <v>76.699999999999989</v>
      </c>
      <c r="G25" s="9">
        <f t="shared" si="26"/>
        <v>140.59999999999997</v>
      </c>
      <c r="H25" s="9">
        <f t="shared" si="26"/>
        <v>214.00000000000003</v>
      </c>
      <c r="I25" s="9">
        <f t="shared" ref="I25:J25" si="27">I23-I24</f>
        <v>217.2999999999999</v>
      </c>
      <c r="J25" s="9">
        <f t="shared" si="27"/>
        <v>255.73392000000007</v>
      </c>
      <c r="L25" s="9">
        <f t="shared" ref="L25:S25" si="28">L23-L24</f>
        <v>10.300000000000006</v>
      </c>
      <c r="M25" s="9">
        <f t="shared" si="28"/>
        <v>14.600000000000014</v>
      </c>
      <c r="N25" s="9">
        <f t="shared" si="28"/>
        <v>30.900000000000002</v>
      </c>
      <c r="O25" s="9">
        <f t="shared" si="28"/>
        <v>32.900000000000048</v>
      </c>
      <c r="P25" s="9">
        <f t="shared" si="28"/>
        <v>114.00000000000006</v>
      </c>
      <c r="Q25" s="9">
        <f t="shared" si="28"/>
        <v>354.60000000000008</v>
      </c>
      <c r="R25" s="9">
        <f t="shared" si="28"/>
        <v>473.03391999999985</v>
      </c>
      <c r="S25" s="9">
        <f t="shared" si="28"/>
        <v>534.5631527999999</v>
      </c>
      <c r="T25" s="9">
        <f t="shared" ref="T25:AB25" si="29">T23-T24</f>
        <v>578.60699919000012</v>
      </c>
      <c r="U25" s="9">
        <f t="shared" si="29"/>
        <v>611.49006039330015</v>
      </c>
      <c r="V25" s="9">
        <f t="shared" si="29"/>
        <v>639.76869922577112</v>
      </c>
      <c r="W25" s="9">
        <f t="shared" si="29"/>
        <v>663.18016013859574</v>
      </c>
      <c r="X25" s="9">
        <f t="shared" si="29"/>
        <v>686.2323852559706</v>
      </c>
      <c r="Y25" s="9">
        <f t="shared" si="29"/>
        <v>700.07112465802334</v>
      </c>
      <c r="Z25" s="9">
        <f t="shared" si="29"/>
        <v>714.1900615990254</v>
      </c>
      <c r="AA25" s="9">
        <f t="shared" si="29"/>
        <v>728.59490271228231</v>
      </c>
      <c r="AB25" s="9">
        <f t="shared" si="29"/>
        <v>743.29147184424301</v>
      </c>
      <c r="AC25" s="8">
        <f>AB25+(AB25*$AE$35)</f>
        <v>735.85855712580053</v>
      </c>
      <c r="AD25" s="8">
        <f t="shared" ref="AD25:CO25" si="30">AC25+(AC25*$AE$35)</f>
        <v>728.49997155454253</v>
      </c>
      <c r="AE25" s="8">
        <f t="shared" si="30"/>
        <v>721.21497183899714</v>
      </c>
      <c r="AF25" s="8">
        <f t="shared" si="30"/>
        <v>714.00282212060722</v>
      </c>
      <c r="AG25" s="8">
        <f t="shared" si="30"/>
        <v>706.86279389940114</v>
      </c>
      <c r="AH25" s="8">
        <f t="shared" si="30"/>
        <v>699.7941659604071</v>
      </c>
      <c r="AI25" s="8">
        <f t="shared" si="30"/>
        <v>692.79622430080303</v>
      </c>
      <c r="AJ25" s="8">
        <f t="shared" si="30"/>
        <v>685.86826205779505</v>
      </c>
      <c r="AK25" s="8">
        <f t="shared" si="30"/>
        <v>679.0095794372171</v>
      </c>
      <c r="AL25" s="8">
        <f t="shared" si="30"/>
        <v>672.21948364284492</v>
      </c>
      <c r="AM25" s="8">
        <f t="shared" si="30"/>
        <v>665.49728880641646</v>
      </c>
      <c r="AN25" s="8">
        <f t="shared" si="30"/>
        <v>658.84231591835226</v>
      </c>
      <c r="AO25" s="8">
        <f t="shared" si="30"/>
        <v>652.25389275916871</v>
      </c>
      <c r="AP25" s="8">
        <f t="shared" si="30"/>
        <v>645.73135383157705</v>
      </c>
      <c r="AQ25" s="8">
        <f t="shared" si="30"/>
        <v>639.27404029326124</v>
      </c>
      <c r="AR25" s="8">
        <f t="shared" si="30"/>
        <v>632.88129989032859</v>
      </c>
      <c r="AS25" s="8">
        <f t="shared" si="30"/>
        <v>626.55248689142536</v>
      </c>
      <c r="AT25" s="8">
        <f t="shared" si="30"/>
        <v>620.28696202251115</v>
      </c>
      <c r="AU25" s="8">
        <f t="shared" si="30"/>
        <v>614.08409240228605</v>
      </c>
      <c r="AV25" s="8">
        <f t="shared" si="30"/>
        <v>607.94325147826316</v>
      </c>
      <c r="AW25" s="8">
        <f t="shared" si="30"/>
        <v>601.86381896348053</v>
      </c>
      <c r="AX25" s="8">
        <f t="shared" si="30"/>
        <v>595.84518077384575</v>
      </c>
      <c r="AY25" s="8">
        <f t="shared" si="30"/>
        <v>589.88672896610728</v>
      </c>
      <c r="AZ25" s="8">
        <f t="shared" si="30"/>
        <v>583.98786167644619</v>
      </c>
      <c r="BA25" s="8">
        <f t="shared" si="30"/>
        <v>578.14798305968168</v>
      </c>
      <c r="BB25" s="8">
        <f t="shared" si="30"/>
        <v>572.36650322908486</v>
      </c>
      <c r="BC25" s="8">
        <f t="shared" si="30"/>
        <v>566.64283819679406</v>
      </c>
      <c r="BD25" s="8">
        <f t="shared" si="30"/>
        <v>560.97640981482607</v>
      </c>
      <c r="BE25" s="8">
        <f t="shared" si="30"/>
        <v>555.36664571667779</v>
      </c>
      <c r="BF25" s="8">
        <f t="shared" si="30"/>
        <v>549.81297925951105</v>
      </c>
      <c r="BG25" s="8">
        <f t="shared" si="30"/>
        <v>544.31484946691592</v>
      </c>
      <c r="BH25" s="8">
        <f t="shared" si="30"/>
        <v>538.8717009722468</v>
      </c>
      <c r="BI25" s="8">
        <f t="shared" si="30"/>
        <v>533.48298396252437</v>
      </c>
      <c r="BJ25" s="8">
        <f t="shared" si="30"/>
        <v>528.14815412289909</v>
      </c>
      <c r="BK25" s="8">
        <f t="shared" si="30"/>
        <v>522.86667258167006</v>
      </c>
      <c r="BL25" s="8">
        <f t="shared" si="30"/>
        <v>517.63800585585341</v>
      </c>
      <c r="BM25" s="8">
        <f t="shared" si="30"/>
        <v>512.46162579729491</v>
      </c>
      <c r="BN25" s="8">
        <f t="shared" si="30"/>
        <v>507.33700953932197</v>
      </c>
      <c r="BO25" s="8">
        <f t="shared" si="30"/>
        <v>502.26363944392875</v>
      </c>
      <c r="BP25" s="8">
        <f t="shared" si="30"/>
        <v>497.24100304948945</v>
      </c>
      <c r="BQ25" s="8">
        <f t="shared" si="30"/>
        <v>492.26859301899458</v>
      </c>
      <c r="BR25" s="8">
        <f t="shared" si="30"/>
        <v>487.34590708880461</v>
      </c>
      <c r="BS25" s="8">
        <f t="shared" si="30"/>
        <v>482.47244801791658</v>
      </c>
      <c r="BT25" s="8">
        <f t="shared" si="30"/>
        <v>477.64772353773742</v>
      </c>
      <c r="BU25" s="8">
        <f t="shared" si="30"/>
        <v>472.87124630236002</v>
      </c>
      <c r="BV25" s="8">
        <f t="shared" si="30"/>
        <v>468.14253383933641</v>
      </c>
      <c r="BW25" s="8">
        <f t="shared" si="30"/>
        <v>463.46110850094306</v>
      </c>
      <c r="BX25" s="8">
        <f t="shared" si="30"/>
        <v>458.8264974159336</v>
      </c>
      <c r="BY25" s="8">
        <f t="shared" si="30"/>
        <v>454.23823244177424</v>
      </c>
      <c r="BZ25" s="8">
        <f t="shared" si="30"/>
        <v>449.69585011735649</v>
      </c>
      <c r="CA25" s="8">
        <f t="shared" si="30"/>
        <v>445.19889161618295</v>
      </c>
      <c r="CB25" s="8">
        <f t="shared" si="30"/>
        <v>440.74690270002111</v>
      </c>
      <c r="CC25" s="8">
        <f t="shared" si="30"/>
        <v>436.33943367302089</v>
      </c>
      <c r="CD25" s="8">
        <f t="shared" si="30"/>
        <v>431.97603933629068</v>
      </c>
      <c r="CE25" s="8">
        <f t="shared" si="30"/>
        <v>427.65627894292777</v>
      </c>
      <c r="CF25" s="8">
        <f t="shared" si="30"/>
        <v>423.37971615349852</v>
      </c>
      <c r="CG25" s="8">
        <f t="shared" si="30"/>
        <v>419.14591899196353</v>
      </c>
      <c r="CH25" s="8">
        <f t="shared" si="30"/>
        <v>414.95445980204391</v>
      </c>
      <c r="CI25" s="8">
        <f t="shared" si="30"/>
        <v>410.80491520402347</v>
      </c>
      <c r="CJ25" s="8">
        <f t="shared" si="30"/>
        <v>406.69686605198325</v>
      </c>
      <c r="CK25" s="8">
        <f t="shared" si="30"/>
        <v>402.62989739146343</v>
      </c>
      <c r="CL25" s="8">
        <f t="shared" si="30"/>
        <v>398.60359841754882</v>
      </c>
      <c r="CM25" s="8">
        <f t="shared" si="30"/>
        <v>394.61756243337334</v>
      </c>
      <c r="CN25" s="8">
        <f t="shared" si="30"/>
        <v>390.67138680903963</v>
      </c>
      <c r="CO25" s="8">
        <f t="shared" si="30"/>
        <v>386.76467294094925</v>
      </c>
      <c r="CP25" s="8">
        <f t="shared" ref="CP25:EQ25" si="31">CO25+(CO25*$AE$35)</f>
        <v>382.89702621153975</v>
      </c>
      <c r="CQ25" s="8">
        <f t="shared" si="31"/>
        <v>379.06805594942438</v>
      </c>
      <c r="CR25" s="8">
        <f t="shared" si="31"/>
        <v>375.27737538993011</v>
      </c>
      <c r="CS25" s="8">
        <f t="shared" si="31"/>
        <v>371.52460163603081</v>
      </c>
      <c r="CT25" s="8">
        <f t="shared" si="31"/>
        <v>367.8093556196705</v>
      </c>
      <c r="CU25" s="8">
        <f t="shared" si="31"/>
        <v>364.1312620634738</v>
      </c>
      <c r="CV25" s="8">
        <f t="shared" si="31"/>
        <v>360.48994944283908</v>
      </c>
      <c r="CW25" s="8">
        <f t="shared" si="31"/>
        <v>356.88504994841071</v>
      </c>
      <c r="CX25" s="8">
        <f t="shared" si="31"/>
        <v>353.31619944892662</v>
      </c>
      <c r="CY25" s="8">
        <f t="shared" si="31"/>
        <v>349.78303745443736</v>
      </c>
      <c r="CZ25" s="8">
        <f t="shared" si="31"/>
        <v>346.28520707989298</v>
      </c>
      <c r="DA25" s="8">
        <f t="shared" si="31"/>
        <v>342.82235500909405</v>
      </c>
      <c r="DB25" s="8">
        <f t="shared" si="31"/>
        <v>339.39413145900312</v>
      </c>
      <c r="DC25" s="8">
        <f t="shared" si="31"/>
        <v>336.00019014441307</v>
      </c>
      <c r="DD25" s="8">
        <f t="shared" si="31"/>
        <v>332.64018824296892</v>
      </c>
      <c r="DE25" s="8">
        <f t="shared" si="31"/>
        <v>329.31378636053921</v>
      </c>
      <c r="DF25" s="8">
        <f t="shared" si="31"/>
        <v>326.0206484969338</v>
      </c>
      <c r="DG25" s="8">
        <f t="shared" si="31"/>
        <v>322.76044201196447</v>
      </c>
      <c r="DH25" s="8">
        <f t="shared" si="31"/>
        <v>319.53283759184484</v>
      </c>
      <c r="DI25" s="8">
        <f t="shared" si="31"/>
        <v>316.33750921592639</v>
      </c>
      <c r="DJ25" s="8">
        <f t="shared" si="31"/>
        <v>313.17413412376715</v>
      </c>
      <c r="DK25" s="8">
        <f t="shared" si="31"/>
        <v>310.04239278252948</v>
      </c>
      <c r="DL25" s="8">
        <f t="shared" si="31"/>
        <v>306.94196885470416</v>
      </c>
      <c r="DM25" s="8">
        <f t="shared" si="31"/>
        <v>303.87254916615711</v>
      </c>
      <c r="DN25" s="8">
        <f t="shared" si="31"/>
        <v>300.83382367449553</v>
      </c>
      <c r="DO25" s="8">
        <f t="shared" si="31"/>
        <v>297.82548543775056</v>
      </c>
      <c r="DP25" s="8">
        <f t="shared" si="31"/>
        <v>294.84723058337306</v>
      </c>
      <c r="DQ25" s="8">
        <f t="shared" si="31"/>
        <v>291.89875827753934</v>
      </c>
      <c r="DR25" s="8">
        <f t="shared" si="31"/>
        <v>288.97977069476394</v>
      </c>
      <c r="DS25" s="8">
        <f t="shared" si="31"/>
        <v>286.08997298781628</v>
      </c>
      <c r="DT25" s="8">
        <f t="shared" si="31"/>
        <v>283.22907325793813</v>
      </c>
      <c r="DU25" s="8">
        <f t="shared" si="31"/>
        <v>280.39678252535873</v>
      </c>
      <c r="DV25" s="8">
        <f t="shared" si="31"/>
        <v>277.59281470010512</v>
      </c>
      <c r="DW25" s="8">
        <f t="shared" si="31"/>
        <v>274.8168865531041</v>
      </c>
      <c r="DX25" s="8">
        <f t="shared" si="31"/>
        <v>272.06871768757304</v>
      </c>
      <c r="DY25" s="8">
        <f t="shared" si="31"/>
        <v>269.3480305106973</v>
      </c>
      <c r="DZ25" s="8">
        <f t="shared" si="31"/>
        <v>266.65455020559034</v>
      </c>
      <c r="EA25" s="8">
        <f t="shared" si="31"/>
        <v>263.98800470353444</v>
      </c>
      <c r="EB25" s="8">
        <f t="shared" si="31"/>
        <v>261.34812465649912</v>
      </c>
      <c r="EC25" s="8">
        <f t="shared" si="31"/>
        <v>258.73464340993411</v>
      </c>
      <c r="ED25" s="8">
        <f t="shared" si="31"/>
        <v>256.14729697583476</v>
      </c>
      <c r="EE25" s="8">
        <f t="shared" si="31"/>
        <v>253.58582400607642</v>
      </c>
      <c r="EF25" s="8">
        <f t="shared" si="31"/>
        <v>251.04996576601565</v>
      </c>
      <c r="EG25" s="8">
        <f t="shared" si="31"/>
        <v>248.5394661083555</v>
      </c>
      <c r="EH25" s="8">
        <f t="shared" si="31"/>
        <v>246.05407144727195</v>
      </c>
      <c r="EI25" s="8">
        <f t="shared" si="31"/>
        <v>243.59353073279922</v>
      </c>
      <c r="EJ25" s="8">
        <f t="shared" si="31"/>
        <v>241.15759542547124</v>
      </c>
      <c r="EK25" s="8">
        <f t="shared" si="31"/>
        <v>238.74601947121653</v>
      </c>
      <c r="EL25" s="8">
        <f t="shared" si="31"/>
        <v>236.35855927650437</v>
      </c>
      <c r="EM25" s="8">
        <f t="shared" si="31"/>
        <v>233.99497368373932</v>
      </c>
      <c r="EN25" s="8">
        <f t="shared" si="31"/>
        <v>231.65502394690193</v>
      </c>
      <c r="EO25" s="8">
        <f t="shared" si="31"/>
        <v>229.33847370743291</v>
      </c>
      <c r="EP25" s="8">
        <f t="shared" si="31"/>
        <v>227.04508897035859</v>
      </c>
      <c r="EQ25" s="8">
        <f t="shared" si="31"/>
        <v>224.774638080655</v>
      </c>
    </row>
    <row r="26" spans="1:147" x14ac:dyDescent="0.3">
      <c r="B26" t="s">
        <v>1</v>
      </c>
      <c r="C26" s="2">
        <f t="shared" ref="C26:H26" si="32">1423.7</f>
        <v>1423.7</v>
      </c>
      <c r="D26" s="2">
        <f t="shared" si="32"/>
        <v>1423.7</v>
      </c>
      <c r="E26" s="2">
        <f t="shared" si="32"/>
        <v>1423.7</v>
      </c>
      <c r="F26" s="2">
        <f t="shared" si="32"/>
        <v>1423.7</v>
      </c>
      <c r="G26" s="2">
        <f t="shared" si="32"/>
        <v>1423.7</v>
      </c>
      <c r="H26" s="2">
        <f t="shared" si="32"/>
        <v>1423.7</v>
      </c>
      <c r="I26" s="2">
        <v>1029.0999999999999</v>
      </c>
      <c r="J26" s="2">
        <v>1029.0999999999999</v>
      </c>
      <c r="L26" s="2">
        <f t="shared" ref="L26:Q26" si="33">1423.7</f>
        <v>1423.7</v>
      </c>
      <c r="M26" s="2">
        <f t="shared" si="33"/>
        <v>1423.7</v>
      </c>
      <c r="N26" s="2">
        <f t="shared" si="33"/>
        <v>1423.7</v>
      </c>
      <c r="O26" s="2">
        <f t="shared" si="33"/>
        <v>1423.7</v>
      </c>
      <c r="P26" s="2">
        <f t="shared" si="33"/>
        <v>1423.7</v>
      </c>
      <c r="Q26" s="2">
        <f t="shared" si="33"/>
        <v>1423.7</v>
      </c>
      <c r="R26" s="2">
        <v>1029.0999999999999</v>
      </c>
      <c r="S26" s="2">
        <v>1029.0999999999999</v>
      </c>
      <c r="T26" s="2">
        <v>1029.0999999999999</v>
      </c>
      <c r="U26" s="2">
        <v>1029.0999999999999</v>
      </c>
      <c r="V26" s="2">
        <v>1029.0999999999999</v>
      </c>
      <c r="W26" s="2">
        <v>1029.0999999999999</v>
      </c>
      <c r="X26" s="2">
        <v>1029.0999999999999</v>
      </c>
      <c r="Y26" s="2">
        <v>1029.0999999999999</v>
      </c>
      <c r="Z26" s="2">
        <v>1029.0999999999999</v>
      </c>
      <c r="AA26" s="2">
        <v>1029.0999999999999</v>
      </c>
      <c r="AB26" s="2">
        <v>1029.0999999999999</v>
      </c>
    </row>
    <row r="27" spans="1:147" x14ac:dyDescent="0.3">
      <c r="B27" t="s">
        <v>34</v>
      </c>
      <c r="C27" s="7">
        <f t="shared" ref="C27:H27" si="34">C25/C26</f>
        <v>8.9204186275198653E-3</v>
      </c>
      <c r="D27" s="7">
        <f t="shared" si="34"/>
        <v>1.4188382383929166E-2</v>
      </c>
      <c r="E27" s="7">
        <f t="shared" si="34"/>
        <v>2.6199339748542508E-2</v>
      </c>
      <c r="F27" s="7">
        <f t="shared" si="34"/>
        <v>5.3873709348879667E-2</v>
      </c>
      <c r="G27" s="7">
        <f t="shared" si="34"/>
        <v>9.8756760553487366E-2</v>
      </c>
      <c r="H27" s="7">
        <f t="shared" si="34"/>
        <v>0.15031256584954697</v>
      </c>
      <c r="I27" s="7">
        <f t="shared" ref="I27:J27" si="35">I25/I26</f>
        <v>0.2111553784860557</v>
      </c>
      <c r="J27" s="7">
        <f t="shared" si="35"/>
        <v>0.24850249732776222</v>
      </c>
      <c r="L27" s="7">
        <f t="shared" ref="L27:S27" si="36">L25/L26</f>
        <v>7.2346702254688531E-3</v>
      </c>
      <c r="M27" s="7">
        <f t="shared" si="36"/>
        <v>1.0254969445810223E-2</v>
      </c>
      <c r="N27" s="7">
        <f t="shared" si="36"/>
        <v>2.1704010676406548E-2</v>
      </c>
      <c r="O27" s="7">
        <f t="shared" si="36"/>
        <v>2.3108801011449076E-2</v>
      </c>
      <c r="P27" s="7">
        <f t="shared" si="36"/>
        <v>8.0073049097422244E-2</v>
      </c>
      <c r="Q27" s="7">
        <f t="shared" si="36"/>
        <v>0.24906932640303439</v>
      </c>
      <c r="R27" s="7">
        <f t="shared" si="36"/>
        <v>0.45965787581381778</v>
      </c>
      <c r="S27" s="7">
        <f t="shared" si="36"/>
        <v>0.51944723816927407</v>
      </c>
      <c r="T27" s="7">
        <f t="shared" ref="T27:AB27" si="37">T25/T26</f>
        <v>0.56224565075308541</v>
      </c>
      <c r="U27" s="7">
        <f t="shared" si="37"/>
        <v>0.59419887318365583</v>
      </c>
      <c r="V27" s="7">
        <f t="shared" si="37"/>
        <v>0.62167787311803635</v>
      </c>
      <c r="W27" s="7">
        <f t="shared" si="37"/>
        <v>0.64442732498163036</v>
      </c>
      <c r="X27" s="7">
        <f t="shared" si="37"/>
        <v>0.6668276992089891</v>
      </c>
      <c r="Y27" s="7">
        <f t="shared" si="37"/>
        <v>0.68027511870374446</v>
      </c>
      <c r="Z27" s="7">
        <f t="shared" si="37"/>
        <v>0.69399481255371243</v>
      </c>
      <c r="AA27" s="7">
        <f t="shared" si="37"/>
        <v>0.7079923260249561</v>
      </c>
      <c r="AB27" s="7">
        <f t="shared" si="37"/>
        <v>0.72227331828223018</v>
      </c>
    </row>
    <row r="29" spans="1:147" x14ac:dyDescent="0.3">
      <c r="B29" t="s">
        <v>58</v>
      </c>
      <c r="E29" s="10"/>
      <c r="F29" s="10"/>
      <c r="G29" s="10"/>
      <c r="H29" s="10">
        <f t="shared" ref="H29:J30" si="38">H3/F3-1</f>
        <v>0.13734142305570862</v>
      </c>
      <c r="I29" s="10">
        <f t="shared" si="38"/>
        <v>0.12400212879191042</v>
      </c>
      <c r="J29" s="10">
        <f t="shared" si="38"/>
        <v>3.2492725509214448E-2</v>
      </c>
    </row>
    <row r="30" spans="1:147" x14ac:dyDescent="0.3">
      <c r="B30" t="s">
        <v>59</v>
      </c>
      <c r="E30" s="10"/>
      <c r="F30" s="10"/>
      <c r="G30" s="10"/>
      <c r="H30" s="10">
        <f t="shared" si="38"/>
        <v>0.15137872819358478</v>
      </c>
      <c r="I30" s="10">
        <f t="shared" si="38"/>
        <v>5.8015267175572482E-2</v>
      </c>
      <c r="J30" s="10">
        <f t="shared" si="38"/>
        <v>3.0000000000000027E-2</v>
      </c>
    </row>
    <row r="31" spans="1:147" x14ac:dyDescent="0.3">
      <c r="B31" t="s">
        <v>60</v>
      </c>
      <c r="E31" s="10"/>
      <c r="F31" s="10"/>
      <c r="G31" s="10"/>
      <c r="H31" s="10">
        <f t="shared" ref="H31:J32" si="39">H6/F6-1</f>
        <v>0.60364464692482933</v>
      </c>
      <c r="I31" s="10">
        <f t="shared" si="39"/>
        <v>0.55038759689922467</v>
      </c>
      <c r="J31" s="10">
        <f t="shared" si="39"/>
        <v>0.38920454545454519</v>
      </c>
    </row>
    <row r="32" spans="1:147" x14ac:dyDescent="0.3">
      <c r="B32" t="s">
        <v>61</v>
      </c>
      <c r="E32" s="10"/>
      <c r="F32" s="10"/>
      <c r="G32" s="10"/>
      <c r="H32" s="10">
        <f t="shared" si="39"/>
        <v>0.58515283842794763</v>
      </c>
      <c r="I32" s="10">
        <f t="shared" si="39"/>
        <v>0.49196141479099675</v>
      </c>
      <c r="J32" s="10">
        <f t="shared" si="39"/>
        <v>0.35000000000000009</v>
      </c>
    </row>
    <row r="33" spans="2:31" x14ac:dyDescent="0.3">
      <c r="J33" s="10"/>
    </row>
    <row r="34" spans="2:31" x14ac:dyDescent="0.3">
      <c r="B34" t="s">
        <v>35</v>
      </c>
      <c r="C34" s="10"/>
      <c r="D34" s="10"/>
      <c r="E34" s="10">
        <f>E10/C10-1</f>
        <v>0.55052672649239165</v>
      </c>
      <c r="F34" s="10">
        <f t="shared" ref="F34:J34" si="40">F10/D10-1</f>
        <v>0.4779314888010544</v>
      </c>
      <c r="G34" s="10">
        <f t="shared" si="40"/>
        <v>0.25364871665827882</v>
      </c>
      <c r="H34" s="10">
        <f t="shared" si="40"/>
        <v>0.2342322264319141</v>
      </c>
      <c r="I34" s="10">
        <f t="shared" si="40"/>
        <v>0.18807707747892422</v>
      </c>
      <c r="J34" s="10">
        <f t="shared" si="40"/>
        <v>0.11854098952690517</v>
      </c>
      <c r="M34" s="10"/>
      <c r="N34" s="10"/>
      <c r="O34" s="10"/>
      <c r="P34" s="10">
        <f t="shared" ref="P34:AB34" si="41">P10/O10-1</f>
        <v>0.51116270762636185</v>
      </c>
      <c r="Q34" s="10">
        <f t="shared" si="41"/>
        <v>0.24335184966316037</v>
      </c>
      <c r="R34" s="10">
        <f t="shared" si="41"/>
        <v>0.15147148288973389</v>
      </c>
      <c r="S34" s="10">
        <f t="shared" si="41"/>
        <v>0.12000000000000011</v>
      </c>
      <c r="T34" s="10">
        <f t="shared" si="41"/>
        <v>0.10000000000000009</v>
      </c>
      <c r="U34" s="10">
        <f t="shared" si="41"/>
        <v>7.0000000000000062E-2</v>
      </c>
      <c r="V34" s="10">
        <f t="shared" si="41"/>
        <v>5.0000000000000044E-2</v>
      </c>
      <c r="W34" s="10">
        <f t="shared" si="41"/>
        <v>4.0000000000000036E-2</v>
      </c>
      <c r="X34" s="10">
        <f t="shared" si="41"/>
        <v>3.0000000000000027E-2</v>
      </c>
      <c r="Y34" s="10">
        <f t="shared" si="41"/>
        <v>2.0000000000000018E-2</v>
      </c>
      <c r="Z34" s="10">
        <f t="shared" si="41"/>
        <v>2.0000000000000018E-2</v>
      </c>
      <c r="AA34" s="10">
        <f t="shared" si="41"/>
        <v>2.0000000000000018E-2</v>
      </c>
      <c r="AB34" s="10">
        <f t="shared" si="41"/>
        <v>2.0000000000000018E-2</v>
      </c>
    </row>
    <row r="35" spans="2:31" x14ac:dyDescent="0.3">
      <c r="B35" t="s">
        <v>36</v>
      </c>
      <c r="C35" s="10"/>
      <c r="D35" s="10"/>
      <c r="E35" s="10">
        <f>E11/C11-1</f>
        <v>-16.583333333333329</v>
      </c>
      <c r="F35" s="10">
        <f t="shared" ref="F35:J35" si="42">F11/D11-1</f>
        <v>-74.625</v>
      </c>
      <c r="G35" s="10">
        <f t="shared" si="42"/>
        <v>10.288770053475936</v>
      </c>
      <c r="H35" s="10">
        <f t="shared" si="42"/>
        <v>1.3268251273344656</v>
      </c>
      <c r="I35" s="10">
        <f t="shared" si="42"/>
        <v>0.42444339175746082</v>
      </c>
      <c r="J35" s="10">
        <f t="shared" si="42"/>
        <v>0.28000000000000003</v>
      </c>
      <c r="M35" s="10"/>
      <c r="N35" s="10"/>
      <c r="O35" s="10"/>
      <c r="P35" s="10">
        <f t="shared" ref="P35:AB35" si="43">P11/O11-1</f>
        <v>-49.749999999999993</v>
      </c>
      <c r="Q35" s="10">
        <f t="shared" si="43"/>
        <v>2.5545787545787544</v>
      </c>
      <c r="R35" s="10">
        <f t="shared" si="43"/>
        <v>0.34284418796372629</v>
      </c>
      <c r="S35" s="10">
        <f t="shared" si="43"/>
        <v>0.14999999999999991</v>
      </c>
      <c r="T35" s="10">
        <f t="shared" si="43"/>
        <v>0.1100000000000001</v>
      </c>
      <c r="U35" s="10">
        <f t="shared" si="43"/>
        <v>7.0000000000000062E-2</v>
      </c>
      <c r="V35" s="10">
        <f t="shared" si="43"/>
        <v>3.0000000000000027E-2</v>
      </c>
      <c r="W35" s="10">
        <f t="shared" si="43"/>
        <v>2.0000000000000018E-2</v>
      </c>
      <c r="X35" s="10">
        <f t="shared" si="43"/>
        <v>2.0000000000000018E-2</v>
      </c>
      <c r="Y35" s="10">
        <f t="shared" si="43"/>
        <v>2.0000000000000018E-2</v>
      </c>
      <c r="Z35" s="10">
        <f t="shared" si="43"/>
        <v>2.0000000000000018E-2</v>
      </c>
      <c r="AA35" s="10">
        <f t="shared" si="43"/>
        <v>2.0000000000000018E-2</v>
      </c>
      <c r="AB35" s="10">
        <f t="shared" si="43"/>
        <v>2.0000000000000018E-2</v>
      </c>
      <c r="AD35" t="s">
        <v>44</v>
      </c>
      <c r="AE35" s="10">
        <v>-0.01</v>
      </c>
    </row>
    <row r="36" spans="2:31" s="8" customFormat="1" x14ac:dyDescent="0.3">
      <c r="B36" s="8" t="s">
        <v>37</v>
      </c>
      <c r="C36" s="11"/>
      <c r="D36" s="11"/>
      <c r="E36" s="11">
        <f>E12/C12-1</f>
        <v>0.63112504900039168</v>
      </c>
      <c r="F36" s="11">
        <f t="shared" ref="F36:J36" si="44">F12/D12-1</f>
        <v>0.87582781456953684</v>
      </c>
      <c r="G36" s="11">
        <f t="shared" si="44"/>
        <v>0.70463830809901462</v>
      </c>
      <c r="H36" s="11">
        <f t="shared" si="44"/>
        <v>0.46142983230361878</v>
      </c>
      <c r="I36" s="11">
        <f t="shared" si="44"/>
        <v>0.25842379811081351</v>
      </c>
      <c r="J36" s="11">
        <f t="shared" si="44"/>
        <v>0.17199661794902776</v>
      </c>
      <c r="M36" s="11">
        <f>M12/L12-1</f>
        <v>0.70095559302979216</v>
      </c>
      <c r="N36" s="11">
        <f t="shared" ref="N36:AB36" si="45">N12/M12-1</f>
        <v>0.3912756113681426</v>
      </c>
      <c r="O36" s="11">
        <f t="shared" si="45"/>
        <v>0.32327790973871728</v>
      </c>
      <c r="P36" s="11">
        <f t="shared" si="45"/>
        <v>0.76377670077185411</v>
      </c>
      <c r="Q36" s="11">
        <f t="shared" si="45"/>
        <v>0.56442092407897415</v>
      </c>
      <c r="R36" s="11">
        <f t="shared" si="45"/>
        <v>0.21187613843351549</v>
      </c>
      <c r="S36" s="11">
        <f t="shared" si="45"/>
        <v>0.13049250199689078</v>
      </c>
      <c r="T36" s="11">
        <f t="shared" si="45"/>
        <v>0.10355785266896533</v>
      </c>
      <c r="U36" s="11">
        <f t="shared" si="45"/>
        <v>7.0000000000000062E-2</v>
      </c>
      <c r="V36" s="11">
        <f t="shared" si="45"/>
        <v>4.2842755904459073E-2</v>
      </c>
      <c r="W36" s="11">
        <f t="shared" si="45"/>
        <v>3.2930898376895446E-2</v>
      </c>
      <c r="X36" s="11">
        <f t="shared" si="45"/>
        <v>2.650969698607275E-2</v>
      </c>
      <c r="Y36" s="11">
        <f t="shared" si="45"/>
        <v>2.0000000000000018E-2</v>
      </c>
      <c r="Z36" s="11">
        <f t="shared" si="45"/>
        <v>2.0000000000000018E-2</v>
      </c>
      <c r="AA36" s="11">
        <f t="shared" si="45"/>
        <v>2.0000000000000018E-2</v>
      </c>
      <c r="AB36" s="11">
        <f t="shared" si="45"/>
        <v>2.0000000000000018E-2</v>
      </c>
      <c r="AD36" t="s">
        <v>45</v>
      </c>
      <c r="AE36" s="10">
        <v>0.09</v>
      </c>
    </row>
    <row r="37" spans="2:31" x14ac:dyDescent="0.3">
      <c r="B37" t="s">
        <v>38</v>
      </c>
      <c r="C37" s="10">
        <f t="shared" ref="C37:E37" si="46">(C10-(C15+C14))/C10</f>
        <v>0.67811158798283266</v>
      </c>
      <c r="D37" s="10">
        <f t="shared" si="46"/>
        <v>0.6525032938076416</v>
      </c>
      <c r="E37" s="10">
        <f t="shared" si="46"/>
        <v>0.61323603422244588</v>
      </c>
      <c r="F37" s="10">
        <f t="shared" ref="F37:I37" si="47">(F10-(F15+F14))/F10</f>
        <v>0.61600178292846008</v>
      </c>
      <c r="G37" s="10">
        <f t="shared" si="47"/>
        <v>0.66459253311922928</v>
      </c>
      <c r="H37" s="10">
        <f t="shared" si="47"/>
        <v>0.72408811845431564</v>
      </c>
      <c r="I37" s="10">
        <f t="shared" si="47"/>
        <v>0.7340767021456327</v>
      </c>
      <c r="J37" s="10">
        <f>(J10-(J15+J14))/J10</f>
        <v>0.73</v>
      </c>
      <c r="M37" s="10"/>
      <c r="N37" s="10"/>
      <c r="O37" s="10">
        <f t="shared" ref="O37:R37" si="48">(O10-(O15+O14))/O10</f>
        <v>0.66422575459903554</v>
      </c>
      <c r="P37" s="10">
        <f t="shared" si="48"/>
        <v>0.61470275381160622</v>
      </c>
      <c r="Q37" s="10">
        <f t="shared" si="48"/>
        <v>0.69591254752851717</v>
      </c>
      <c r="R37" s="10">
        <f t="shared" si="48"/>
        <v>0.73199199569405315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D37" t="s">
        <v>46</v>
      </c>
      <c r="AE37" s="2">
        <f>NPV(AE36,R25:EQ25)</f>
        <v>7078.1785241903008</v>
      </c>
    </row>
    <row r="38" spans="2:31" x14ac:dyDescent="0.3">
      <c r="B38" t="s">
        <v>39</v>
      </c>
      <c r="C38" s="10"/>
      <c r="D38" s="10"/>
      <c r="E38" s="10"/>
      <c r="F38" s="10">
        <f t="shared" ref="F38:I38" si="49">(F11-F13)/F11</f>
        <v>0.84380305602716477</v>
      </c>
      <c r="G38" s="10">
        <f t="shared" si="49"/>
        <v>0.74751302700142119</v>
      </c>
      <c r="H38" s="10">
        <f t="shared" si="49"/>
        <v>0.73878146661802258</v>
      </c>
      <c r="I38" s="10">
        <f t="shared" si="49"/>
        <v>0.7179913535084802</v>
      </c>
      <c r="J38" s="10">
        <f>(J11-J13)/J11</f>
        <v>0.74</v>
      </c>
      <c r="M38" s="10"/>
      <c r="N38" s="10"/>
      <c r="O38" s="10">
        <f t="shared" ref="O38:R38" si="50">(O11-O13)/O11</f>
        <v>1</v>
      </c>
      <c r="P38" s="10">
        <f t="shared" si="50"/>
        <v>0.86520146520146513</v>
      </c>
      <c r="Q38" s="10">
        <f t="shared" si="50"/>
        <v>0.7425803792250617</v>
      </c>
      <c r="R38" s="10">
        <f t="shared" si="50"/>
        <v>0.72984265165421425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D38" t="s">
        <v>47</v>
      </c>
      <c r="AE38" s="2">
        <f>Main!D8</f>
        <v>4869.2</v>
      </c>
    </row>
    <row r="39" spans="2:31" x14ac:dyDescent="0.3">
      <c r="B39" t="s">
        <v>40</v>
      </c>
      <c r="C39" s="10">
        <f t="shared" ref="C39:J39" si="51">C17/C12</f>
        <v>0.6765974127793023</v>
      </c>
      <c r="D39" s="10">
        <f t="shared" si="51"/>
        <v>0.65066225165562908</v>
      </c>
      <c r="E39" s="10">
        <f t="shared" si="51"/>
        <v>0.63061763999038689</v>
      </c>
      <c r="F39" s="10">
        <f t="shared" si="51"/>
        <v>0.66337157987643425</v>
      </c>
      <c r="G39" s="10">
        <f t="shared" si="51"/>
        <v>0.68927111236430283</v>
      </c>
      <c r="H39" s="10">
        <f t="shared" si="51"/>
        <v>0.72895277207392195</v>
      </c>
      <c r="I39" s="10">
        <f t="shared" si="51"/>
        <v>0.7286578534617969</v>
      </c>
      <c r="J39" s="10">
        <f t="shared" si="51"/>
        <v>0.73361588628624663</v>
      </c>
      <c r="L39" s="10">
        <f>L17/L12</f>
        <v>0.62057335581787521</v>
      </c>
      <c r="M39" s="10">
        <f>M17/M12</f>
        <v>0.62161269001982822</v>
      </c>
      <c r="N39" s="10">
        <f t="shared" ref="N39:AB39" si="52">N17/N12</f>
        <v>0.61876484560570066</v>
      </c>
      <c r="O39" s="10">
        <f t="shared" si="52"/>
        <v>0.66253814395979183</v>
      </c>
      <c r="P39" s="10">
        <f t="shared" si="52"/>
        <v>0.64950132302055774</v>
      </c>
      <c r="Q39" s="10">
        <f t="shared" si="52"/>
        <v>0.71064272703616971</v>
      </c>
      <c r="R39" s="10">
        <f t="shared" si="52"/>
        <v>0.73124026247305263</v>
      </c>
      <c r="S39" s="10">
        <f t="shared" si="52"/>
        <v>0.74</v>
      </c>
      <c r="T39" s="10">
        <f t="shared" si="52"/>
        <v>0.74</v>
      </c>
      <c r="U39" s="10">
        <f t="shared" si="52"/>
        <v>0.74</v>
      </c>
      <c r="V39" s="10">
        <f t="shared" si="52"/>
        <v>0.74</v>
      </c>
      <c r="W39" s="10">
        <f t="shared" si="52"/>
        <v>0.74</v>
      </c>
      <c r="X39" s="10">
        <f t="shared" si="52"/>
        <v>0.74</v>
      </c>
      <c r="Y39" s="10">
        <f t="shared" si="52"/>
        <v>0.73999999999999988</v>
      </c>
      <c r="Z39" s="10">
        <f t="shared" si="52"/>
        <v>0.74</v>
      </c>
      <c r="AA39" s="10">
        <f t="shared" si="52"/>
        <v>0.74</v>
      </c>
      <c r="AB39" s="10">
        <f t="shared" si="52"/>
        <v>0.7400000000000001</v>
      </c>
      <c r="AD39" t="s">
        <v>48</v>
      </c>
      <c r="AE39" s="2">
        <f>AE37+AE38</f>
        <v>11947.378524190301</v>
      </c>
    </row>
    <row r="40" spans="2:31" x14ac:dyDescent="0.3">
      <c r="B40" t="s">
        <v>41</v>
      </c>
      <c r="C40" s="10"/>
      <c r="D40" s="10"/>
      <c r="E40" s="10">
        <f>E18/C18-1</f>
        <v>0.41195795006570313</v>
      </c>
      <c r="F40" s="10">
        <f t="shared" ref="F40:J40" si="53">F18/D18-1</f>
        <v>0.65248226950354637</v>
      </c>
      <c r="G40" s="10">
        <f t="shared" si="53"/>
        <v>0.37971149371800839</v>
      </c>
      <c r="H40" s="10">
        <f t="shared" si="53"/>
        <v>0.14234620886981375</v>
      </c>
      <c r="I40" s="10">
        <f t="shared" si="53"/>
        <v>0.2367622259696458</v>
      </c>
      <c r="J40" s="10">
        <f t="shared" si="53"/>
        <v>0.18999999999999995</v>
      </c>
      <c r="L40" s="10"/>
      <c r="M40" s="10">
        <f>M18/L18-1</f>
        <v>0.6964824120603017</v>
      </c>
      <c r="N40" s="10">
        <f t="shared" ref="N40:AB40" si="54">N18/M18-1</f>
        <v>0.2885071090047393</v>
      </c>
      <c r="O40" s="10">
        <f t="shared" si="54"/>
        <v>0.47770114942528719</v>
      </c>
      <c r="P40" s="10">
        <f t="shared" si="54"/>
        <v>0.53858120721841951</v>
      </c>
      <c r="Q40" s="10">
        <f t="shared" si="54"/>
        <v>0.24550050556117275</v>
      </c>
      <c r="R40" s="10">
        <f t="shared" si="54"/>
        <v>0.21251177139145971</v>
      </c>
      <c r="S40" s="10">
        <f t="shared" si="54"/>
        <v>0.14999999999999991</v>
      </c>
      <c r="T40" s="10">
        <f t="shared" si="54"/>
        <v>0.12000000000000011</v>
      </c>
      <c r="U40" s="10">
        <f t="shared" si="54"/>
        <v>8.0000000000000071E-2</v>
      </c>
      <c r="V40" s="10">
        <f t="shared" si="54"/>
        <v>4.0000000000000036E-2</v>
      </c>
      <c r="W40" s="10">
        <f t="shared" si="54"/>
        <v>3.0000000000000027E-2</v>
      </c>
      <c r="X40" s="10">
        <f t="shared" si="54"/>
        <v>2.0000000000000018E-2</v>
      </c>
      <c r="Y40" s="10">
        <f t="shared" si="54"/>
        <v>2.0000000000000018E-2</v>
      </c>
      <c r="Z40" s="10">
        <f t="shared" si="54"/>
        <v>2.0000000000000018E-2</v>
      </c>
      <c r="AA40" s="10">
        <f t="shared" si="54"/>
        <v>2.0000000000000018E-2</v>
      </c>
      <c r="AB40" s="10">
        <f t="shared" si="54"/>
        <v>2.0000000000000018E-2</v>
      </c>
      <c r="AD40" t="s">
        <v>49</v>
      </c>
      <c r="AE40" s="1">
        <f>AE39/AB26</f>
        <v>11.609540884452727</v>
      </c>
    </row>
    <row r="41" spans="2:31" x14ac:dyDescent="0.3">
      <c r="B41" t="s">
        <v>42</v>
      </c>
      <c r="C41" s="10">
        <f t="shared" ref="C41:J41" si="55">C21/C12</f>
        <v>8.3496667973343902E-2</v>
      </c>
      <c r="D41" s="10">
        <f t="shared" si="55"/>
        <v>9.0728476821191922E-2</v>
      </c>
      <c r="E41" s="10">
        <f t="shared" si="55"/>
        <v>0.13217976447969232</v>
      </c>
      <c r="F41" s="10">
        <f t="shared" si="55"/>
        <v>0.18040600176522503</v>
      </c>
      <c r="G41" s="10">
        <f t="shared" si="55"/>
        <v>0.28704356407725928</v>
      </c>
      <c r="H41" s="10">
        <f t="shared" si="55"/>
        <v>0.36030921608889965</v>
      </c>
      <c r="I41" s="10">
        <f t="shared" si="55"/>
        <v>0.3382254089177682</v>
      </c>
      <c r="J41" s="10">
        <f t="shared" si="55"/>
        <v>0.36353706497810984</v>
      </c>
      <c r="L41" s="10">
        <f>L21/L12</f>
        <v>6.8577852726250735E-2</v>
      </c>
      <c r="M41" s="10">
        <f>M21/M12</f>
        <v>7.666886979510909E-2</v>
      </c>
      <c r="N41" s="10">
        <f t="shared" ref="N41:AB41" si="56">N21/N12</f>
        <v>0.10665083135391924</v>
      </c>
      <c r="O41" s="10">
        <f t="shared" si="56"/>
        <v>8.7416980793394439E-2</v>
      </c>
      <c r="P41" s="10">
        <f t="shared" si="56"/>
        <v>0.15998371667005906</v>
      </c>
      <c r="Q41" s="10">
        <f t="shared" si="56"/>
        <v>0.32650273224043719</v>
      </c>
      <c r="R41" s="10">
        <f t="shared" si="56"/>
        <v>0.35140907490273204</v>
      </c>
      <c r="S41" s="10">
        <f t="shared" si="56"/>
        <v>0.34878878074043618</v>
      </c>
      <c r="T41" s="10">
        <f t="shared" si="56"/>
        <v>0.34160788026804007</v>
      </c>
      <c r="U41" s="10">
        <f t="shared" si="56"/>
        <v>0.33716147176213229</v>
      </c>
      <c r="V41" s="10">
        <f t="shared" si="56"/>
        <v>0.33811675419525972</v>
      </c>
      <c r="W41" s="10">
        <f t="shared" si="56"/>
        <v>0.33925708115680325</v>
      </c>
      <c r="X41" s="10">
        <f t="shared" si="56"/>
        <v>0.34194134732462617</v>
      </c>
      <c r="Y41" s="10">
        <f t="shared" si="56"/>
        <v>0.34208566999014756</v>
      </c>
      <c r="Z41" s="10">
        <f t="shared" si="56"/>
        <v>0.34223140758376247</v>
      </c>
      <c r="AA41" s="10">
        <f t="shared" si="56"/>
        <v>0.34237857397731453</v>
      </c>
      <c r="AB41" s="10">
        <f t="shared" si="56"/>
        <v>0.34252718317864672</v>
      </c>
      <c r="AD41" t="s">
        <v>50</v>
      </c>
      <c r="AE41" s="1">
        <f>Main!D3</f>
        <v>8.98</v>
      </c>
    </row>
    <row r="42" spans="2:31" x14ac:dyDescent="0.3">
      <c r="B42" t="s">
        <v>32</v>
      </c>
      <c r="C42" s="10">
        <f t="shared" ref="C42:J42" si="57">C24/C23</f>
        <v>0.32446808510638242</v>
      </c>
      <c r="D42" s="10">
        <f t="shared" si="57"/>
        <v>0.19521912350597645</v>
      </c>
      <c r="E42" s="10">
        <f t="shared" si="57"/>
        <v>0.27290448343079937</v>
      </c>
      <c r="F42" s="10">
        <f t="shared" si="57"/>
        <v>0.19432773109243701</v>
      </c>
      <c r="G42" s="10">
        <f t="shared" si="57"/>
        <v>0.27637673700463206</v>
      </c>
      <c r="H42" s="10">
        <f t="shared" si="57"/>
        <v>0.25461511668408215</v>
      </c>
      <c r="I42" s="10">
        <f t="shared" si="57"/>
        <v>0.25709401709401719</v>
      </c>
      <c r="J42" s="10">
        <f t="shared" si="57"/>
        <v>0.25</v>
      </c>
      <c r="L42" s="10">
        <f>L24/L23</f>
        <v>-1.9801980198019788E-2</v>
      </c>
      <c r="M42" s="10">
        <f>M24/M23</f>
        <v>0.26999999999999985</v>
      </c>
      <c r="N42" s="10">
        <f t="shared" ref="N42:AB42" si="58">N24/N23</f>
        <v>0.2481751824817518</v>
      </c>
      <c r="O42" s="10">
        <f t="shared" si="58"/>
        <v>0.25056947608200431</v>
      </c>
      <c r="P42" s="10">
        <f t="shared" si="58"/>
        <v>0.2218430034129692</v>
      </c>
      <c r="Q42" s="10">
        <f t="shared" si="58"/>
        <v>0.26339842127129198</v>
      </c>
      <c r="R42" s="10">
        <f t="shared" si="58"/>
        <v>0.25327556468525164</v>
      </c>
      <c r="S42" s="10">
        <f t="shared" si="58"/>
        <v>0.25</v>
      </c>
      <c r="T42" s="10">
        <f t="shared" si="58"/>
        <v>0.25</v>
      </c>
      <c r="U42" s="10">
        <f t="shared" si="58"/>
        <v>0.25</v>
      </c>
      <c r="V42" s="10">
        <f t="shared" si="58"/>
        <v>0.25</v>
      </c>
      <c r="W42" s="10">
        <f t="shared" si="58"/>
        <v>0.25</v>
      </c>
      <c r="X42" s="10">
        <f t="shared" si="58"/>
        <v>0.25</v>
      </c>
      <c r="Y42" s="10">
        <f t="shared" si="58"/>
        <v>0.25</v>
      </c>
      <c r="Z42" s="10">
        <f t="shared" si="58"/>
        <v>0.25</v>
      </c>
      <c r="AA42" s="10">
        <f t="shared" si="58"/>
        <v>0.25</v>
      </c>
      <c r="AB42" s="10">
        <f t="shared" si="58"/>
        <v>0.25</v>
      </c>
      <c r="AD42" s="8" t="s">
        <v>51</v>
      </c>
      <c r="AE42" s="11">
        <f>AE40/AE41-1</f>
        <v>0.29282192477201852</v>
      </c>
    </row>
    <row r="43" spans="2:31" x14ac:dyDescent="0.3">
      <c r="B43" t="s">
        <v>43</v>
      </c>
      <c r="C43" s="10">
        <f t="shared" ref="C43:J43" si="59">C25/C12</f>
        <v>4.9784398275186326E-2</v>
      </c>
      <c r="D43" s="10">
        <f t="shared" si="59"/>
        <v>6.6887417218542911E-2</v>
      </c>
      <c r="E43" s="10">
        <f t="shared" si="59"/>
        <v>8.9641913001682214E-2</v>
      </c>
      <c r="F43" s="10">
        <f t="shared" si="59"/>
        <v>0.13539276257722857</v>
      </c>
      <c r="G43" s="10">
        <f t="shared" si="59"/>
        <v>0.19822360073311712</v>
      </c>
      <c r="H43" s="10">
        <f t="shared" si="59"/>
        <v>0.25848532431453081</v>
      </c>
      <c r="I43" s="10">
        <f t="shared" si="59"/>
        <v>0.24344611248039427</v>
      </c>
      <c r="J43" s="10">
        <f t="shared" si="59"/>
        <v>0.26356278908704156</v>
      </c>
      <c r="L43" s="10">
        <f>L25/L12</f>
        <v>5.7897695334457593E-2</v>
      </c>
      <c r="M43" s="10">
        <f>M25/M12</f>
        <v>4.8248512888301433E-2</v>
      </c>
      <c r="N43" s="10">
        <f t="shared" ref="N43:AB43" si="60">N25/N12</f>
        <v>7.3396674584323043E-2</v>
      </c>
      <c r="O43" s="10">
        <f t="shared" si="60"/>
        <v>5.9055824807036521E-2</v>
      </c>
      <c r="P43" s="10">
        <f t="shared" si="60"/>
        <v>0.11601872582943218</v>
      </c>
      <c r="Q43" s="10">
        <f t="shared" si="60"/>
        <v>0.23067915690866514</v>
      </c>
      <c r="R43" s="10">
        <f t="shared" si="60"/>
        <v>0.25392395496044862</v>
      </c>
      <c r="S43" s="10">
        <f t="shared" si="60"/>
        <v>0.25382986764096443</v>
      </c>
      <c r="T43" s="10">
        <f t="shared" si="60"/>
        <v>0.24896155102904949</v>
      </c>
      <c r="U43" s="10">
        <f t="shared" si="60"/>
        <v>0.24589756181492634</v>
      </c>
      <c r="V43" s="10">
        <f t="shared" si="60"/>
        <v>0.2466999037950246</v>
      </c>
      <c r="W43" s="10">
        <f t="shared" si="60"/>
        <v>0.24757469246964328</v>
      </c>
      <c r="X43" s="10">
        <f t="shared" si="60"/>
        <v>0.24956453935523457</v>
      </c>
      <c r="Y43" s="10">
        <f t="shared" si="60"/>
        <v>0.2496052179118439</v>
      </c>
      <c r="Z43" s="10">
        <f t="shared" si="60"/>
        <v>0.24964629527783189</v>
      </c>
      <c r="AA43" s="10">
        <f t="shared" si="60"/>
        <v>0.24968777536309411</v>
      </c>
      <c r="AB43" s="10">
        <f t="shared" si="60"/>
        <v>0.24972966211585901</v>
      </c>
      <c r="AD43" t="s">
        <v>52</v>
      </c>
      <c r="AE43" s="4" t="s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2024-07-19T07:46:08Z</dcterms:created>
  <dcterms:modified xsi:type="dcterms:W3CDTF">2025-03-21T08:18:42Z</dcterms:modified>
</cp:coreProperties>
</file>