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os\Desktop\Financial Analysis\"/>
    </mc:Choice>
  </mc:AlternateContent>
  <xr:revisionPtr revIDLastSave="0" documentId="13_ncr:1_{292C73F4-8335-48E3-A81E-18E6462B5A33}" xr6:coauthVersionLast="47" xr6:coauthVersionMax="47" xr10:uidLastSave="{00000000-0000-0000-0000-000000000000}"/>
  <bookViews>
    <workbookView xWindow="-108" yWindow="-108" windowWidth="23256" windowHeight="12576" activeTab="1" xr2:uid="{961327DF-2131-4088-BB64-D1A8B8DD32EB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C22" i="2" l="1"/>
  <c r="AZ12" i="2"/>
  <c r="AY12" i="2"/>
  <c r="AX12" i="2"/>
  <c r="AW12" i="2"/>
  <c r="AV12" i="2"/>
  <c r="AU12" i="2"/>
  <c r="AT12" i="2"/>
  <c r="AS12" i="2"/>
  <c r="AR12" i="2"/>
  <c r="AZ7" i="2"/>
  <c r="AY7" i="2"/>
  <c r="AX7" i="2"/>
  <c r="AW7" i="2"/>
  <c r="AV7" i="2"/>
  <c r="AU7" i="2"/>
  <c r="AT7" i="2"/>
  <c r="AS7" i="2"/>
  <c r="AR7" i="2"/>
  <c r="AT6" i="2"/>
  <c r="AS6" i="2"/>
  <c r="AR6" i="2"/>
  <c r="AZ5" i="2"/>
  <c r="AY5" i="2"/>
  <c r="AX5" i="2"/>
  <c r="AW5" i="2"/>
  <c r="AV5" i="2"/>
  <c r="AU5" i="2"/>
  <c r="AT5" i="2"/>
  <c r="AS5" i="2"/>
  <c r="AR5" i="2"/>
  <c r="AQ5" i="2"/>
  <c r="AZ15" i="2"/>
  <c r="AY15" i="2"/>
  <c r="AX15" i="2"/>
  <c r="AW15" i="2"/>
  <c r="AV15" i="2"/>
  <c r="AU15" i="2"/>
  <c r="AT15" i="2"/>
  <c r="AS15" i="2"/>
  <c r="AR15" i="2"/>
  <c r="AQ15" i="2"/>
  <c r="AP15" i="2"/>
  <c r="AQ13" i="2"/>
  <c r="AQ12" i="2"/>
  <c r="AQ10" i="2"/>
  <c r="AR10" i="2" s="1"/>
  <c r="AS10" i="2" s="1"/>
  <c r="AT10" i="2" s="1"/>
  <c r="AU10" i="2" s="1"/>
  <c r="AV10" i="2" s="1"/>
  <c r="AW10" i="2" s="1"/>
  <c r="AX10" i="2" s="1"/>
  <c r="AY10" i="2" s="1"/>
  <c r="AZ10" i="2" s="1"/>
  <c r="AQ8" i="2"/>
  <c r="AQ7" i="2"/>
  <c r="AQ6" i="2"/>
  <c r="AQ4" i="2"/>
  <c r="AQ3" i="2"/>
  <c r="AH25" i="2"/>
  <c r="AG25" i="2"/>
  <c r="AF25" i="2"/>
  <c r="AE25" i="2"/>
  <c r="AH24" i="2"/>
  <c r="AG24" i="2"/>
  <c r="AF24" i="2"/>
  <c r="AE24" i="2"/>
  <c r="AH23" i="2"/>
  <c r="AG23" i="2"/>
  <c r="AF23" i="2"/>
  <c r="AE23" i="2"/>
  <c r="AH22" i="2"/>
  <c r="AG22" i="2"/>
  <c r="AF22" i="2"/>
  <c r="AE22" i="2"/>
  <c r="AH21" i="2"/>
  <c r="AG21" i="2"/>
  <c r="AF21" i="2"/>
  <c r="AE21" i="2"/>
  <c r="AH20" i="2"/>
  <c r="AG20" i="2"/>
  <c r="AF20" i="2"/>
  <c r="AE20" i="2"/>
  <c r="AH19" i="2"/>
  <c r="AG19" i="2"/>
  <c r="AF19" i="2"/>
  <c r="AE19" i="2"/>
  <c r="AH18" i="2"/>
  <c r="AG18" i="2"/>
  <c r="AF18" i="2"/>
  <c r="AE18" i="2"/>
  <c r="AH15" i="2"/>
  <c r="AG15" i="2"/>
  <c r="AF15" i="2"/>
  <c r="AE15" i="2"/>
  <c r="AH14" i="2"/>
  <c r="AH16" i="2" s="1"/>
  <c r="AG14" i="2"/>
  <c r="AG16" i="2" s="1"/>
  <c r="AF14" i="2"/>
  <c r="AF16" i="2" s="1"/>
  <c r="AE14" i="2"/>
  <c r="AE16" i="2" s="1"/>
  <c r="AH12" i="2"/>
  <c r="AG12" i="2"/>
  <c r="AF12" i="2"/>
  <c r="AE12" i="2"/>
  <c r="AH11" i="2"/>
  <c r="AG11" i="2"/>
  <c r="AF11" i="2"/>
  <c r="AE11" i="2"/>
  <c r="AH9" i="2"/>
  <c r="AG9" i="2"/>
  <c r="AF9" i="2"/>
  <c r="AE9" i="2"/>
  <c r="AH8" i="2"/>
  <c r="AG8" i="2"/>
  <c r="AF8" i="2"/>
  <c r="AE8" i="2"/>
  <c r="AH7" i="2"/>
  <c r="AG7" i="2"/>
  <c r="AF7" i="2"/>
  <c r="AE7" i="2"/>
  <c r="AH6" i="2"/>
  <c r="AG6" i="2"/>
  <c r="AF6" i="2"/>
  <c r="AE6" i="2"/>
  <c r="AH5" i="2"/>
  <c r="AG5" i="2"/>
  <c r="AF5" i="2"/>
  <c r="AE5" i="2"/>
  <c r="AE4" i="2" s="1"/>
  <c r="AH4" i="2"/>
  <c r="AG4" i="2"/>
  <c r="AF4" i="2"/>
  <c r="AH3" i="2"/>
  <c r="AG3" i="2"/>
  <c r="AF3" i="2"/>
  <c r="AE3" i="2"/>
  <c r="Y15" i="2"/>
  <c r="Z15" i="2"/>
  <c r="AA15" i="2"/>
  <c r="AB15" i="2"/>
  <c r="AC10" i="2"/>
  <c r="AC5" i="2"/>
  <c r="AD10" i="2"/>
  <c r="AD5" i="2"/>
  <c r="D6" i="1"/>
  <c r="AD15" i="2"/>
  <c r="D4" i="1"/>
  <c r="AD23" i="2"/>
  <c r="AC23" i="2"/>
  <c r="AD21" i="2"/>
  <c r="AC21" i="2"/>
  <c r="AB10" i="2"/>
  <c r="AB5" i="2"/>
  <c r="AB23" i="2"/>
  <c r="AP13" i="2"/>
  <c r="AO13" i="2"/>
  <c r="AO12" i="2"/>
  <c r="AO8" i="2"/>
  <c r="AO7" i="2"/>
  <c r="AO6" i="2"/>
  <c r="AO4" i="2"/>
  <c r="AO3" i="2"/>
  <c r="AO15" i="2"/>
  <c r="AN13" i="2"/>
  <c r="AN12" i="2"/>
  <c r="AN8" i="2"/>
  <c r="AN7" i="2"/>
  <c r="AN6" i="2"/>
  <c r="AN4" i="2"/>
  <c r="AN3" i="2"/>
  <c r="AN5" i="2" s="1"/>
  <c r="AA23" i="2"/>
  <c r="Z23" i="2"/>
  <c r="Y23" i="2"/>
  <c r="X23" i="2"/>
  <c r="W23" i="2"/>
  <c r="V23" i="2"/>
  <c r="U23" i="2"/>
  <c r="T23" i="2"/>
  <c r="S23" i="2"/>
  <c r="AA22" i="2"/>
  <c r="Z22" i="2"/>
  <c r="Y22" i="2"/>
  <c r="X22" i="2"/>
  <c r="W22" i="2"/>
  <c r="V22" i="2"/>
  <c r="U22" i="2"/>
  <c r="T22" i="2"/>
  <c r="S22" i="2"/>
  <c r="AA21" i="2"/>
  <c r="Z21" i="2"/>
  <c r="Y21" i="2"/>
  <c r="X21" i="2"/>
  <c r="W21" i="2"/>
  <c r="V21" i="2"/>
  <c r="U21" i="2"/>
  <c r="T21" i="2"/>
  <c r="S21" i="2"/>
  <c r="AA18" i="2"/>
  <c r="Z18" i="2"/>
  <c r="Y18" i="2"/>
  <c r="X18" i="2"/>
  <c r="W18" i="2"/>
  <c r="V18" i="2"/>
  <c r="U18" i="2"/>
  <c r="T18" i="2"/>
  <c r="S18" i="2"/>
  <c r="P10" i="2"/>
  <c r="P15" i="2"/>
  <c r="P5" i="2"/>
  <c r="P9" i="2" s="1"/>
  <c r="Q10" i="2"/>
  <c r="Q15" i="2"/>
  <c r="Q5" i="2"/>
  <c r="Q9" i="2" s="1"/>
  <c r="R10" i="2"/>
  <c r="R15" i="2"/>
  <c r="R5" i="2"/>
  <c r="R9" i="2" s="1"/>
  <c r="O15" i="2"/>
  <c r="O5" i="2"/>
  <c r="O9" i="2" s="1"/>
  <c r="O11" i="2" s="1"/>
  <c r="O14" i="2" s="1"/>
  <c r="S10" i="2"/>
  <c r="S15" i="2"/>
  <c r="S5" i="2"/>
  <c r="S9" i="2" s="1"/>
  <c r="S20" i="2" s="1"/>
  <c r="T10" i="2"/>
  <c r="T15" i="2"/>
  <c r="T5" i="2"/>
  <c r="T9" i="2" s="1"/>
  <c r="T20" i="2" s="1"/>
  <c r="X10" i="2"/>
  <c r="X15" i="2"/>
  <c r="X5" i="2"/>
  <c r="X9" i="2" s="1"/>
  <c r="X20" i="2" s="1"/>
  <c r="U10" i="2"/>
  <c r="U15" i="2"/>
  <c r="U5" i="2"/>
  <c r="U9" i="2" s="1"/>
  <c r="U20" i="2" s="1"/>
  <c r="Y10" i="2"/>
  <c r="Y5" i="2"/>
  <c r="Y9" i="2" s="1"/>
  <c r="Y20" i="2" s="1"/>
  <c r="V10" i="2"/>
  <c r="V15" i="2"/>
  <c r="V5" i="2"/>
  <c r="V9" i="2" s="1"/>
  <c r="V20" i="2" s="1"/>
  <c r="Z10" i="2"/>
  <c r="Z5" i="2"/>
  <c r="Z9" i="2" s="1"/>
  <c r="Z20" i="2" s="1"/>
  <c r="W10" i="2"/>
  <c r="W15" i="2"/>
  <c r="W5" i="2"/>
  <c r="W9" i="2" s="1"/>
  <c r="W20" i="2" s="1"/>
  <c r="AA10" i="2"/>
  <c r="AA5" i="2"/>
  <c r="AA9" i="2" s="1"/>
  <c r="BC26" i="2"/>
  <c r="AM13" i="2"/>
  <c r="R23" i="2"/>
  <c r="Q23" i="2"/>
  <c r="P23" i="2"/>
  <c r="O23" i="2"/>
  <c r="R21" i="2"/>
  <c r="Q21" i="2"/>
  <c r="P21" i="2"/>
  <c r="P18" i="2"/>
  <c r="O18" i="2"/>
  <c r="F22" i="2"/>
  <c r="E22" i="2"/>
  <c r="D22" i="2"/>
  <c r="C22" i="2"/>
  <c r="N23" i="2"/>
  <c r="M23" i="2"/>
  <c r="L23" i="2"/>
  <c r="K23" i="2"/>
  <c r="J23" i="2"/>
  <c r="I23" i="2"/>
  <c r="H23" i="2"/>
  <c r="N22" i="2"/>
  <c r="M22" i="2"/>
  <c r="L22" i="2"/>
  <c r="K22" i="2"/>
  <c r="J22" i="2"/>
  <c r="I22" i="2"/>
  <c r="H22" i="2"/>
  <c r="N21" i="2"/>
  <c r="M21" i="2"/>
  <c r="L21" i="2"/>
  <c r="K21" i="2"/>
  <c r="J21" i="2"/>
  <c r="I21" i="2"/>
  <c r="H21" i="2"/>
  <c r="N18" i="2"/>
  <c r="M18" i="2"/>
  <c r="L18" i="2"/>
  <c r="K18" i="2"/>
  <c r="J18" i="2"/>
  <c r="I18" i="2"/>
  <c r="H18" i="2"/>
  <c r="G23" i="2"/>
  <c r="G22" i="2"/>
  <c r="G21" i="2"/>
  <c r="G18" i="2"/>
  <c r="AL13" i="2"/>
  <c r="AL12" i="2"/>
  <c r="AL10" i="2"/>
  <c r="AL8" i="2"/>
  <c r="AL7" i="2"/>
  <c r="AL6" i="2"/>
  <c r="AL4" i="2"/>
  <c r="AL3" i="2"/>
  <c r="AK13" i="2"/>
  <c r="AK12" i="2"/>
  <c r="AK10" i="2"/>
  <c r="AK8" i="2"/>
  <c r="AK7" i="2"/>
  <c r="AK6" i="2"/>
  <c r="AK4" i="2"/>
  <c r="AJ13" i="2"/>
  <c r="AJ12" i="2"/>
  <c r="AJ10" i="2"/>
  <c r="AJ8" i="2"/>
  <c r="AJ7" i="2"/>
  <c r="AJ6" i="2"/>
  <c r="AJ4" i="2"/>
  <c r="AJ3" i="2"/>
  <c r="C5" i="2"/>
  <c r="C9" i="2" s="1"/>
  <c r="C11" i="2" s="1"/>
  <c r="C14" i="2" s="1"/>
  <c r="C16" i="2" s="1"/>
  <c r="D5" i="2"/>
  <c r="D9" i="2" s="1"/>
  <c r="D11" i="2" s="1"/>
  <c r="D14" i="2" s="1"/>
  <c r="D16" i="2" s="1"/>
  <c r="E5" i="2"/>
  <c r="E9" i="2" s="1"/>
  <c r="E11" i="2" s="1"/>
  <c r="E14" i="2" s="1"/>
  <c r="E16" i="2" s="1"/>
  <c r="AK3" i="2"/>
  <c r="F5" i="2"/>
  <c r="F9" i="2" s="1"/>
  <c r="F11" i="2" s="1"/>
  <c r="F14" i="2" s="1"/>
  <c r="F16" i="2" s="1"/>
  <c r="AO5" i="2" l="1"/>
  <c r="O16" i="2"/>
  <c r="AO10" i="2"/>
  <c r="AP10" i="2"/>
  <c r="AN10" i="2"/>
  <c r="AC22" i="2"/>
  <c r="AD9" i="2"/>
  <c r="T19" i="2"/>
  <c r="AA11" i="2"/>
  <c r="AA14" i="2" s="1"/>
  <c r="AA25" i="2" s="1"/>
  <c r="U19" i="2"/>
  <c r="V19" i="2"/>
  <c r="X19" i="2"/>
  <c r="W19" i="2"/>
  <c r="Y19" i="2"/>
  <c r="Z19" i="2"/>
  <c r="AA20" i="2"/>
  <c r="S19" i="2"/>
  <c r="AA19" i="2"/>
  <c r="AP3" i="2"/>
  <c r="AB18" i="2"/>
  <c r="AP6" i="2"/>
  <c r="AB21" i="2"/>
  <c r="AB22" i="2"/>
  <c r="AP8" i="2"/>
  <c r="AR8" i="2" s="1"/>
  <c r="AD19" i="2"/>
  <c r="AC18" i="2"/>
  <c r="AD18" i="2"/>
  <c r="P11" i="2"/>
  <c r="P14" i="2" s="1"/>
  <c r="P16" i="2" s="1"/>
  <c r="Q11" i="2"/>
  <c r="Q14" i="2" s="1"/>
  <c r="Q16" i="2" s="1"/>
  <c r="R11" i="2"/>
  <c r="R14" i="2" s="1"/>
  <c r="R16" i="2" s="1"/>
  <c r="S11" i="2"/>
  <c r="T11" i="2"/>
  <c r="X11" i="2"/>
  <c r="U11" i="2"/>
  <c r="Y11" i="2"/>
  <c r="V11" i="2"/>
  <c r="Z11" i="2"/>
  <c r="W11" i="2"/>
  <c r="AK22" i="2"/>
  <c r="AL18" i="2"/>
  <c r="AJ22" i="2"/>
  <c r="AK23" i="2"/>
  <c r="E24" i="2"/>
  <c r="AK18" i="2"/>
  <c r="AK5" i="2"/>
  <c r="AK19" i="2" s="1"/>
  <c r="F24" i="2"/>
  <c r="AM6" i="2"/>
  <c r="AK21" i="2"/>
  <c r="E20" i="2"/>
  <c r="F20" i="2"/>
  <c r="AL23" i="2"/>
  <c r="D19" i="2"/>
  <c r="AM3" i="2"/>
  <c r="AL5" i="2"/>
  <c r="AL19" i="2" s="1"/>
  <c r="D25" i="2"/>
  <c r="AL21" i="2"/>
  <c r="P19" i="2"/>
  <c r="E19" i="2"/>
  <c r="E25" i="2"/>
  <c r="Q19" i="2"/>
  <c r="F19" i="2"/>
  <c r="F25" i="2"/>
  <c r="C20" i="2"/>
  <c r="C24" i="2"/>
  <c r="O21" i="2"/>
  <c r="Q22" i="2"/>
  <c r="D20" i="2"/>
  <c r="D24" i="2"/>
  <c r="AL22" i="2"/>
  <c r="P22" i="2"/>
  <c r="AM8" i="2"/>
  <c r="R22" i="2"/>
  <c r="C19" i="2"/>
  <c r="C25" i="2"/>
  <c r="R18" i="2"/>
  <c r="R19" i="2"/>
  <c r="Q18" i="2"/>
  <c r="AJ5" i="2"/>
  <c r="G5" i="2"/>
  <c r="K5" i="2"/>
  <c r="H5" i="2"/>
  <c r="L5" i="2"/>
  <c r="I5" i="2"/>
  <c r="M5" i="2"/>
  <c r="J5" i="2"/>
  <c r="N5" i="2"/>
  <c r="N19" i="2" s="1"/>
  <c r="D8" i="1"/>
  <c r="BC23" i="2" s="1"/>
  <c r="D5" i="1"/>
  <c r="F3" i="1"/>
  <c r="AD22" i="2" l="1"/>
  <c r="AP7" i="2"/>
  <c r="AA16" i="2"/>
  <c r="AA24" i="2"/>
  <c r="AB19" i="2"/>
  <c r="AD11" i="2"/>
  <c r="AD20" i="2"/>
  <c r="T14" i="2"/>
  <c r="T24" i="2"/>
  <c r="S14" i="2"/>
  <c r="S24" i="2"/>
  <c r="W14" i="2"/>
  <c r="W24" i="2"/>
  <c r="AC9" i="2"/>
  <c r="Z14" i="2"/>
  <c r="Z24" i="2"/>
  <c r="V14" i="2"/>
  <c r="V24" i="2"/>
  <c r="AC19" i="2"/>
  <c r="Y14" i="2"/>
  <c r="Y24" i="2"/>
  <c r="AP4" i="2"/>
  <c r="AP5" i="2" s="1"/>
  <c r="U14" i="2"/>
  <c r="U24" i="2"/>
  <c r="X14" i="2"/>
  <c r="X24" i="2"/>
  <c r="AB9" i="2"/>
  <c r="AB11" i="2" s="1"/>
  <c r="D9" i="1"/>
  <c r="O20" i="2"/>
  <c r="AL9" i="2"/>
  <c r="AL11" i="2" s="1"/>
  <c r="O19" i="2"/>
  <c r="AK9" i="2"/>
  <c r="AK11" i="2" s="1"/>
  <c r="AM21" i="2"/>
  <c r="AN21" i="2"/>
  <c r="N9" i="2"/>
  <c r="K9" i="2"/>
  <c r="K19" i="2"/>
  <c r="AM7" i="2"/>
  <c r="AM22" i="2" s="1"/>
  <c r="R20" i="2"/>
  <c r="Q20" i="2"/>
  <c r="AJ9" i="2"/>
  <c r="AJ19" i="2"/>
  <c r="H9" i="2"/>
  <c r="H19" i="2"/>
  <c r="P20" i="2"/>
  <c r="J9" i="2"/>
  <c r="J19" i="2"/>
  <c r="M9" i="2"/>
  <c r="M19" i="2"/>
  <c r="L9" i="2"/>
  <c r="L19" i="2"/>
  <c r="G9" i="2"/>
  <c r="G19" i="2"/>
  <c r="AM23" i="2"/>
  <c r="I9" i="2"/>
  <c r="I19" i="2"/>
  <c r="O22" i="2"/>
  <c r="AM18" i="2"/>
  <c r="AK20" i="2" l="1"/>
  <c r="AR3" i="2"/>
  <c r="AB20" i="2"/>
  <c r="U16" i="2"/>
  <c r="U25" i="2"/>
  <c r="W16" i="2"/>
  <c r="W25" i="2"/>
  <c r="Z16" i="2"/>
  <c r="Z25" i="2"/>
  <c r="Y16" i="2"/>
  <c r="Y25" i="2"/>
  <c r="AC11" i="2"/>
  <c r="AC20" i="2"/>
  <c r="S16" i="2"/>
  <c r="S25" i="2"/>
  <c r="T16" i="2"/>
  <c r="T25" i="2"/>
  <c r="X16" i="2"/>
  <c r="X25" i="2"/>
  <c r="V16" i="2"/>
  <c r="V25" i="2"/>
  <c r="AD24" i="2"/>
  <c r="AB14" i="2"/>
  <c r="AL20" i="2"/>
  <c r="AU6" i="2"/>
  <c r="AV6" i="2" s="1"/>
  <c r="AW6" i="2" s="1"/>
  <c r="AX6" i="2" s="1"/>
  <c r="AP21" i="2"/>
  <c r="AO21" i="2"/>
  <c r="AL14" i="2"/>
  <c r="AL24" i="2"/>
  <c r="M11" i="2"/>
  <c r="M20" i="2"/>
  <c r="J11" i="2"/>
  <c r="J20" i="2"/>
  <c r="AJ11" i="2"/>
  <c r="AJ20" i="2"/>
  <c r="G11" i="2"/>
  <c r="G20" i="2"/>
  <c r="AM4" i="2"/>
  <c r="AM5" i="2" s="1"/>
  <c r="AK14" i="2"/>
  <c r="AK24" i="2"/>
  <c r="AO23" i="2"/>
  <c r="AN23" i="2"/>
  <c r="I11" i="2"/>
  <c r="I20" i="2"/>
  <c r="AN22" i="2"/>
  <c r="AN18" i="2"/>
  <c r="L11" i="2"/>
  <c r="L20" i="2"/>
  <c r="H11" i="2"/>
  <c r="H20" i="2"/>
  <c r="K11" i="2"/>
  <c r="K20" i="2"/>
  <c r="N20" i="2"/>
  <c r="N11" i="2"/>
  <c r="AS3" i="2" l="1"/>
  <c r="AD14" i="2"/>
  <c r="AC24" i="2"/>
  <c r="AB16" i="2"/>
  <c r="AB25" i="2"/>
  <c r="AB24" i="2"/>
  <c r="AY6" i="2"/>
  <c r="AX21" i="2"/>
  <c r="AQ21" i="2"/>
  <c r="N24" i="2"/>
  <c r="N14" i="2"/>
  <c r="AP23" i="2"/>
  <c r="AO22" i="2"/>
  <c r="AO18" i="2"/>
  <c r="AM9" i="2"/>
  <c r="AM19" i="2"/>
  <c r="M14" i="2"/>
  <c r="M24" i="2"/>
  <c r="K14" i="2"/>
  <c r="K24" i="2"/>
  <c r="H14" i="2"/>
  <c r="H24" i="2"/>
  <c r="L14" i="2"/>
  <c r="L24" i="2"/>
  <c r="AJ14" i="2"/>
  <c r="AJ24" i="2"/>
  <c r="AN9" i="2"/>
  <c r="AN20" i="2" s="1"/>
  <c r="AN19" i="2"/>
  <c r="J14" i="2"/>
  <c r="J24" i="2"/>
  <c r="AK16" i="2"/>
  <c r="AK25" i="2"/>
  <c r="I14" i="2"/>
  <c r="I24" i="2"/>
  <c r="G14" i="2"/>
  <c r="G24" i="2"/>
  <c r="AL16" i="2"/>
  <c r="AL25" i="2"/>
  <c r="AR21" i="2"/>
  <c r="AT3" i="2" l="1"/>
  <c r="AP12" i="2"/>
  <c r="AC14" i="2"/>
  <c r="AD16" i="2"/>
  <c r="AD25" i="2"/>
  <c r="AZ6" i="2"/>
  <c r="AZ21" i="2" s="1"/>
  <c r="AY21" i="2"/>
  <c r="K16" i="2"/>
  <c r="K25" i="2"/>
  <c r="AP22" i="2"/>
  <c r="AP18" i="2"/>
  <c r="H16" i="2"/>
  <c r="H25" i="2"/>
  <c r="G16" i="2"/>
  <c r="G25" i="2"/>
  <c r="AJ16" i="2"/>
  <c r="AJ25" i="2"/>
  <c r="AQ23" i="2"/>
  <c r="J16" i="2"/>
  <c r="J25" i="2"/>
  <c r="AO9" i="2"/>
  <c r="AO20" i="2" s="1"/>
  <c r="AO19" i="2"/>
  <c r="I16" i="2"/>
  <c r="I25" i="2"/>
  <c r="M16" i="2"/>
  <c r="M25" i="2"/>
  <c r="L16" i="2"/>
  <c r="L25" i="2"/>
  <c r="AM20" i="2"/>
  <c r="N25" i="2"/>
  <c r="N16" i="2"/>
  <c r="AS21" i="2"/>
  <c r="AU3" i="2" l="1"/>
  <c r="AC16" i="2"/>
  <c r="AC25" i="2"/>
  <c r="AS8" i="2"/>
  <c r="AT8" i="2" s="1"/>
  <c r="AR23" i="2"/>
  <c r="AP19" i="2"/>
  <c r="AP9" i="2"/>
  <c r="AP20" i="2" s="1"/>
  <c r="AQ22" i="2"/>
  <c r="AQ18" i="2"/>
  <c r="AT21" i="2"/>
  <c r="AV3" i="2" l="1"/>
  <c r="AQ19" i="2"/>
  <c r="AQ9" i="2"/>
  <c r="AQ20" i="2" s="1"/>
  <c r="AR22" i="2"/>
  <c r="AR4" i="2"/>
  <c r="AR18" i="2"/>
  <c r="AS23" i="2"/>
  <c r="AU21" i="2"/>
  <c r="AW3" i="2" l="1"/>
  <c r="AS22" i="2"/>
  <c r="AS4" i="2"/>
  <c r="AS18" i="2"/>
  <c r="AR9" i="2"/>
  <c r="AR20" i="2" s="1"/>
  <c r="AR19" i="2"/>
  <c r="AT23" i="2"/>
  <c r="AU8" i="2"/>
  <c r="O25" i="2"/>
  <c r="O24" i="2"/>
  <c r="AV21" i="2"/>
  <c r="AW21" i="2"/>
  <c r="AX3" i="2" l="1"/>
  <c r="AS9" i="2"/>
  <c r="AS20" i="2" s="1"/>
  <c r="AS19" i="2"/>
  <c r="AU23" i="2"/>
  <c r="AV8" i="2"/>
  <c r="AT22" i="2"/>
  <c r="AT4" i="2"/>
  <c r="AT18" i="2"/>
  <c r="AY3" i="2" l="1"/>
  <c r="AU22" i="2"/>
  <c r="AU4" i="2"/>
  <c r="AU18" i="2"/>
  <c r="AV23" i="2"/>
  <c r="AW8" i="2"/>
  <c r="AT9" i="2"/>
  <c r="AT20" i="2" s="1"/>
  <c r="AT19" i="2"/>
  <c r="AZ3" i="2" l="1"/>
  <c r="AW23" i="2"/>
  <c r="AX8" i="2"/>
  <c r="AU9" i="2"/>
  <c r="AU20" i="2" s="1"/>
  <c r="AU19" i="2"/>
  <c r="P24" i="2"/>
  <c r="AV22" i="2"/>
  <c r="AV18" i="2"/>
  <c r="AY8" i="2" l="1"/>
  <c r="AX23" i="2"/>
  <c r="AX18" i="2"/>
  <c r="AX4" i="2"/>
  <c r="AX22" i="2"/>
  <c r="AW22" i="2"/>
  <c r="AW18" i="2"/>
  <c r="P25" i="2"/>
  <c r="AV4" i="2"/>
  <c r="AV9" i="2"/>
  <c r="AV20" i="2" s="1"/>
  <c r="AV19" i="2"/>
  <c r="AZ8" i="2" l="1"/>
  <c r="AZ23" i="2" s="1"/>
  <c r="AY23" i="2"/>
  <c r="AY18" i="2"/>
  <c r="AY4" i="2"/>
  <c r="AY22" i="2"/>
  <c r="AX19" i="2"/>
  <c r="AX9" i="2"/>
  <c r="AX20" i="2" s="1"/>
  <c r="AW4" i="2"/>
  <c r="AW9" i="2"/>
  <c r="AW20" i="2" s="1"/>
  <c r="AW19" i="2"/>
  <c r="AZ18" i="2" l="1"/>
  <c r="AZ22" i="2"/>
  <c r="AZ4" i="2"/>
  <c r="AY9" i="2"/>
  <c r="AY20" i="2" s="1"/>
  <c r="AY19" i="2"/>
  <c r="Q25" i="2"/>
  <c r="Q24" i="2"/>
  <c r="AZ9" i="2" l="1"/>
  <c r="AZ20" i="2" s="1"/>
  <c r="AZ19" i="2"/>
  <c r="AM10" i="2"/>
  <c r="AM11" i="2" s="1"/>
  <c r="R24" i="2" l="1"/>
  <c r="AM12" i="2"/>
  <c r="R25" i="2" l="1"/>
  <c r="AM24" i="2"/>
  <c r="AM14" i="2"/>
  <c r="AN11" i="2" l="1"/>
  <c r="AM16" i="2"/>
  <c r="AM25" i="2"/>
  <c r="AN24" i="2" l="1"/>
  <c r="AN14" i="2" l="1"/>
  <c r="AO11" i="2" s="1"/>
  <c r="AN25" i="2" l="1"/>
  <c r="AN16" i="2"/>
  <c r="AO24" i="2"/>
  <c r="AO14" i="2" l="1"/>
  <c r="AO16" i="2" s="1"/>
  <c r="AP11" i="2" l="1"/>
  <c r="AP24" i="2" s="1"/>
  <c r="AO25" i="2"/>
  <c r="AP14" i="2" l="1"/>
  <c r="AQ11" i="2" l="1"/>
  <c r="AP25" i="2"/>
  <c r="AP16" i="2"/>
  <c r="AQ24" i="2" l="1"/>
  <c r="AQ14" i="2" l="1"/>
  <c r="AR11" i="2" l="1"/>
  <c r="AR24" i="2" s="1"/>
  <c r="AQ16" i="2"/>
  <c r="AQ25" i="2"/>
  <c r="AR14" i="2" l="1"/>
  <c r="AR16" i="2" l="1"/>
  <c r="AS11" i="2"/>
  <c r="AS24" i="2" s="1"/>
  <c r="AR25" i="2"/>
  <c r="AS14" i="2" l="1"/>
  <c r="AT11" i="2" l="1"/>
  <c r="AT24" i="2" s="1"/>
  <c r="AS25" i="2"/>
  <c r="AS16" i="2"/>
  <c r="AT14" i="2" l="1"/>
  <c r="AT25" i="2" l="1"/>
  <c r="AT16" i="2"/>
  <c r="AU11" i="2"/>
  <c r="AU24" i="2" s="1"/>
  <c r="AU14" i="2" l="1"/>
  <c r="AU16" i="2" l="1"/>
  <c r="AV11" i="2"/>
  <c r="AV24" i="2" s="1"/>
  <c r="AU25" i="2"/>
  <c r="AV14" i="2" l="1"/>
  <c r="AV16" i="2" l="1"/>
  <c r="AV25" i="2"/>
  <c r="AW11" i="2"/>
  <c r="AW14" i="2" l="1"/>
  <c r="AW24" i="2"/>
  <c r="AW16" i="2" l="1"/>
  <c r="AW25" i="2"/>
  <c r="AX11" i="2"/>
  <c r="AX24" i="2" s="1"/>
  <c r="AX14" i="2" l="1"/>
  <c r="AX25" i="2" l="1"/>
  <c r="AY11" i="2"/>
  <c r="AX16" i="2"/>
  <c r="AY24" i="2" l="1"/>
  <c r="AY14" i="2" l="1"/>
  <c r="AY25" i="2" l="1"/>
  <c r="AZ11" i="2"/>
  <c r="AY16" i="2"/>
  <c r="AZ24" i="2" l="1"/>
  <c r="AZ14" i="2" l="1"/>
  <c r="AZ16" i="2" l="1"/>
  <c r="AZ25" i="2"/>
  <c r="BA14" i="2" l="1"/>
  <c r="BB14" i="2" s="1"/>
  <c r="BC14" i="2" s="1"/>
  <c r="BD14" i="2" s="1"/>
  <c r="BE14" i="2" s="1"/>
  <c r="BF14" i="2" s="1"/>
  <c r="BG14" i="2" s="1"/>
  <c r="BH14" i="2" s="1"/>
  <c r="BI14" i="2" s="1"/>
  <c r="BJ14" i="2" s="1"/>
  <c r="BK14" i="2" s="1"/>
  <c r="BL14" i="2" s="1"/>
  <c r="BM14" i="2" s="1"/>
  <c r="BN14" i="2" s="1"/>
  <c r="BO14" i="2" s="1"/>
  <c r="BP14" i="2" s="1"/>
  <c r="BQ14" i="2" s="1"/>
  <c r="BR14" i="2" s="1"/>
  <c r="BS14" i="2" s="1"/>
  <c r="BT14" i="2" s="1"/>
  <c r="BU14" i="2" s="1"/>
  <c r="BV14" i="2" s="1"/>
  <c r="BW14" i="2" s="1"/>
  <c r="BX14" i="2" s="1"/>
  <c r="BY14" i="2" s="1"/>
  <c r="BZ14" i="2" s="1"/>
  <c r="CA14" i="2" s="1"/>
  <c r="CB14" i="2" s="1"/>
  <c r="CC14" i="2" s="1"/>
  <c r="CD14" i="2" s="1"/>
  <c r="CE14" i="2" s="1"/>
  <c r="CF14" i="2" s="1"/>
  <c r="CG14" i="2" s="1"/>
  <c r="CH14" i="2" s="1"/>
  <c r="CI14" i="2" s="1"/>
  <c r="CJ14" i="2" s="1"/>
  <c r="CK14" i="2" s="1"/>
  <c r="CL14" i="2" s="1"/>
  <c r="CM14" i="2" s="1"/>
  <c r="CN14" i="2" s="1"/>
  <c r="CO14" i="2" s="1"/>
  <c r="CP14" i="2" s="1"/>
  <c r="CQ14" i="2" s="1"/>
  <c r="CR14" i="2" s="1"/>
  <c r="CS14" i="2" s="1"/>
  <c r="CT14" i="2" s="1"/>
  <c r="CU14" i="2" s="1"/>
  <c r="CV14" i="2" s="1"/>
  <c r="CW14" i="2" s="1"/>
  <c r="CX14" i="2" s="1"/>
  <c r="CY14" i="2" s="1"/>
  <c r="CZ14" i="2" s="1"/>
  <c r="DA14" i="2" s="1"/>
  <c r="DB14" i="2" s="1"/>
  <c r="DC14" i="2" s="1"/>
  <c r="DD14" i="2" s="1"/>
  <c r="DE14" i="2" s="1"/>
  <c r="DF14" i="2" s="1"/>
  <c r="DG14" i="2" s="1"/>
  <c r="DH14" i="2" s="1"/>
  <c r="DI14" i="2" s="1"/>
  <c r="DJ14" i="2" s="1"/>
  <c r="DK14" i="2" s="1"/>
  <c r="DL14" i="2" s="1"/>
  <c r="DM14" i="2" s="1"/>
  <c r="DN14" i="2" s="1"/>
  <c r="DO14" i="2" s="1"/>
  <c r="DP14" i="2" s="1"/>
  <c r="DQ14" i="2" s="1"/>
  <c r="DR14" i="2" s="1"/>
  <c r="DS14" i="2" s="1"/>
  <c r="DT14" i="2" s="1"/>
  <c r="DU14" i="2" s="1"/>
  <c r="DV14" i="2" s="1"/>
  <c r="DW14" i="2" s="1"/>
  <c r="DX14" i="2" s="1"/>
  <c r="DY14" i="2" s="1"/>
  <c r="DZ14" i="2" s="1"/>
  <c r="EA14" i="2" s="1"/>
  <c r="EB14" i="2" s="1"/>
  <c r="EC14" i="2" s="1"/>
  <c r="ED14" i="2" s="1"/>
  <c r="EE14" i="2" s="1"/>
  <c r="EF14" i="2" s="1"/>
  <c r="EG14" i="2" s="1"/>
  <c r="EH14" i="2" s="1"/>
  <c r="EI14" i="2" s="1"/>
  <c r="EJ14" i="2" s="1"/>
  <c r="EK14" i="2" s="1"/>
  <c r="EL14" i="2" s="1"/>
  <c r="EM14" i="2" s="1"/>
  <c r="EN14" i="2" s="1"/>
  <c r="EO14" i="2" s="1"/>
  <c r="EP14" i="2" s="1"/>
  <c r="EQ14" i="2" s="1"/>
  <c r="ER14" i="2" s="1"/>
  <c r="ES14" i="2" s="1"/>
  <c r="ET14" i="2" s="1"/>
  <c r="EU14" i="2" s="1"/>
  <c r="EV14" i="2" s="1"/>
  <c r="EW14" i="2" s="1"/>
  <c r="EX14" i="2" s="1"/>
  <c r="EY14" i="2" s="1"/>
  <c r="EZ14" i="2" s="1"/>
  <c r="FA14" i="2" s="1"/>
  <c r="FB14" i="2" s="1"/>
  <c r="FC14" i="2" s="1"/>
  <c r="FD14" i="2" s="1"/>
  <c r="BC24" i="2" l="1"/>
  <c r="BC25" i="2" s="1"/>
  <c r="BC27" i="2" s="1"/>
</calcChain>
</file>

<file path=xl/sharedStrings.xml><?xml version="1.0" encoding="utf-8"?>
<sst xmlns="http://schemas.openxmlformats.org/spreadsheetml/2006/main" count="87" uniqueCount="79">
  <si>
    <t>ZM</t>
  </si>
  <si>
    <t>Price</t>
  </si>
  <si>
    <t>Shares</t>
  </si>
  <si>
    <t>MC</t>
  </si>
  <si>
    <t>Cash</t>
  </si>
  <si>
    <t>Debt</t>
  </si>
  <si>
    <t>Net Cash</t>
  </si>
  <si>
    <t>EV</t>
  </si>
  <si>
    <t>Time last checked</t>
  </si>
  <si>
    <t>Today</t>
  </si>
  <si>
    <t>Earnings</t>
  </si>
  <si>
    <t>Q420</t>
  </si>
  <si>
    <t>Q421</t>
  </si>
  <si>
    <t>Revenue</t>
  </si>
  <si>
    <t>Q119</t>
  </si>
  <si>
    <t>Q219</t>
  </si>
  <si>
    <t>Q319</t>
  </si>
  <si>
    <t>Q419</t>
  </si>
  <si>
    <t>Q120</t>
  </si>
  <si>
    <t>Q220</t>
  </si>
  <si>
    <t>Q320</t>
  </si>
  <si>
    <t>Q121</t>
  </si>
  <si>
    <t>Q221</t>
  </si>
  <si>
    <t>Q321</t>
  </si>
  <si>
    <t>Q122</t>
  </si>
  <si>
    <t>Q222</t>
  </si>
  <si>
    <t>Q322</t>
  </si>
  <si>
    <t>Q422</t>
  </si>
  <si>
    <t>Cost of sales</t>
  </si>
  <si>
    <t>Gross profit</t>
  </si>
  <si>
    <t>R&amp;D</t>
  </si>
  <si>
    <t>S&amp;M</t>
  </si>
  <si>
    <t>G&amp;A</t>
  </si>
  <si>
    <t>Operating profit</t>
  </si>
  <si>
    <t>Net finance expense</t>
  </si>
  <si>
    <t>Pretax profit</t>
  </si>
  <si>
    <t>Taxes</t>
  </si>
  <si>
    <t>Net profit</t>
  </si>
  <si>
    <t>MI</t>
  </si>
  <si>
    <t>EPS</t>
  </si>
  <si>
    <t>Revenue y/y</t>
  </si>
  <si>
    <t>Gross Margin</t>
  </si>
  <si>
    <t>Operating Margin</t>
  </si>
  <si>
    <t>R&amp;D y/y</t>
  </si>
  <si>
    <t>S&amp;M Margin</t>
  </si>
  <si>
    <t>G&amp;A y/y</t>
  </si>
  <si>
    <t>Net Margin</t>
  </si>
  <si>
    <t>Maturity</t>
  </si>
  <si>
    <t>Discount rate</t>
  </si>
  <si>
    <t>NPV</t>
  </si>
  <si>
    <t>Net cash</t>
  </si>
  <si>
    <t>Value</t>
  </si>
  <si>
    <t>Current price</t>
  </si>
  <si>
    <t>Per share</t>
  </si>
  <si>
    <t>Variance</t>
  </si>
  <si>
    <t>Consensus</t>
  </si>
  <si>
    <t>Q123</t>
  </si>
  <si>
    <t>Q223</t>
  </si>
  <si>
    <t>Q323</t>
  </si>
  <si>
    <t>Q423</t>
  </si>
  <si>
    <t>Q124</t>
  </si>
  <si>
    <t>Q224</t>
  </si>
  <si>
    <t>Q324</t>
  </si>
  <si>
    <t>Q424</t>
  </si>
  <si>
    <t>Q125</t>
  </si>
  <si>
    <t>Q225</t>
  </si>
  <si>
    <t>Q325</t>
  </si>
  <si>
    <t>Q425</t>
  </si>
  <si>
    <t>Securities</t>
  </si>
  <si>
    <t>A/R</t>
  </si>
  <si>
    <t>D/R</t>
  </si>
  <si>
    <t>Prepaids</t>
  </si>
  <si>
    <t>Current assets</t>
  </si>
  <si>
    <t>PP&amp;E</t>
  </si>
  <si>
    <t>Q126</t>
  </si>
  <si>
    <t>Q226</t>
  </si>
  <si>
    <t>Q326</t>
  </si>
  <si>
    <t>Q426</t>
  </si>
  <si>
    <t>Fairly valued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</si>
</sst>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14" fontId="0" fillId="0" borderId="0" xfId="0" applyNumberFormat="1"/>
    <xf numFmtId="3" fontId="0" fillId="0" borderId="0" xfId="0" applyNumberFormat="1"/>
    <xf numFmtId="0" fontId="2" fillId="0" borderId="0" xfId="0" applyFont="1" applyAlignment="1">
      <alignment horizontal="right"/>
    </xf>
    <xf numFmtId="14" fontId="2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3" fontId="1" fillId="0" borderId="0" xfId="0" applyNumberFormat="1" applyFont="1"/>
    <xf numFmtId="4" fontId="1" fillId="0" borderId="0" xfId="0" applyNumberFormat="1" applyFont="1"/>
    <xf numFmtId="9" fontId="0" fillId="0" borderId="0" xfId="0" applyNumberFormat="1"/>
    <xf numFmtId="9" fontId="1" fillId="0" borderId="0" xfId="0" applyNumberFormat="1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22860</xdr:colOff>
      <xdr:row>0</xdr:row>
      <xdr:rowOff>0</xdr:rowOff>
    </xdr:from>
    <xdr:to>
      <xdr:col>30</xdr:col>
      <xdr:colOff>22860</xdr:colOff>
      <xdr:row>34</xdr:row>
      <xdr:rowOff>99060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743AC2E3-E234-4669-AB42-9A1B9B1A1531}"/>
            </a:ext>
          </a:extLst>
        </xdr:cNvPr>
        <xdr:cNvCxnSpPr/>
      </xdr:nvCxnSpPr>
      <xdr:spPr>
        <a:xfrm>
          <a:off x="22120860" y="0"/>
          <a:ext cx="0" cy="631698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22860</xdr:colOff>
      <xdr:row>0</xdr:row>
      <xdr:rowOff>7620</xdr:rowOff>
    </xdr:from>
    <xdr:to>
      <xdr:col>42</xdr:col>
      <xdr:colOff>22860</xdr:colOff>
      <xdr:row>34</xdr:row>
      <xdr:rowOff>106680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5AEC52A3-8C6C-FDE0-39BF-843E8A015555}"/>
            </a:ext>
          </a:extLst>
        </xdr:cNvPr>
        <xdr:cNvCxnSpPr/>
      </xdr:nvCxnSpPr>
      <xdr:spPr>
        <a:xfrm>
          <a:off x="29893260" y="7620"/>
          <a:ext cx="0" cy="631698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699E14-A645-4337-B0AC-832C1A1F3D8A}">
  <dimension ref="B2:G9"/>
  <sheetViews>
    <sheetView workbookViewId="0">
      <selection activeCell="F3" sqref="F3"/>
    </sheetView>
  </sheetViews>
  <sheetFormatPr defaultRowHeight="14.4" x14ac:dyDescent="0.3"/>
  <cols>
    <col min="5" max="7" width="15.77734375" style="4" customWidth="1"/>
  </cols>
  <sheetData>
    <row r="2" spans="2:7" x14ac:dyDescent="0.3">
      <c r="E2" s="4" t="s">
        <v>8</v>
      </c>
      <c r="F2" s="4" t="s">
        <v>9</v>
      </c>
      <c r="G2" s="4" t="s">
        <v>10</v>
      </c>
    </row>
    <row r="3" spans="2:7" x14ac:dyDescent="0.3">
      <c r="B3" s="1" t="s">
        <v>0</v>
      </c>
      <c r="C3" t="s">
        <v>1</v>
      </c>
      <c r="D3" s="11">
        <v>73.25</v>
      </c>
      <c r="E3" s="5">
        <v>45751</v>
      </c>
      <c r="F3" s="5">
        <f ca="1">TODAY()</f>
        <v>45751</v>
      </c>
      <c r="G3" s="5">
        <v>45803</v>
      </c>
    </row>
    <row r="4" spans="2:7" x14ac:dyDescent="0.3">
      <c r="C4" t="s">
        <v>2</v>
      </c>
      <c r="D4" s="3">
        <f>306.6</f>
        <v>306.60000000000002</v>
      </c>
      <c r="E4" s="4" t="s">
        <v>67</v>
      </c>
    </row>
    <row r="5" spans="2:7" x14ac:dyDescent="0.3">
      <c r="C5" t="s">
        <v>3</v>
      </c>
      <c r="D5" s="3">
        <f>D3*D4</f>
        <v>22458.45</v>
      </c>
    </row>
    <row r="6" spans="2:7" x14ac:dyDescent="0.3">
      <c r="C6" t="s">
        <v>4</v>
      </c>
      <c r="D6" s="3">
        <f>1349.4+6442.3+591.5</f>
        <v>8383.2000000000007</v>
      </c>
      <c r="E6" s="4" t="s">
        <v>67</v>
      </c>
    </row>
    <row r="7" spans="2:7" x14ac:dyDescent="0.3">
      <c r="C7" t="s">
        <v>5</v>
      </c>
      <c r="D7" s="3">
        <v>0</v>
      </c>
      <c r="E7" s="4" t="s">
        <v>67</v>
      </c>
    </row>
    <row r="8" spans="2:7" x14ac:dyDescent="0.3">
      <c r="C8" t="s">
        <v>6</v>
      </c>
      <c r="D8" s="3">
        <f>D6-D7</f>
        <v>8383.2000000000007</v>
      </c>
    </row>
    <row r="9" spans="2:7" x14ac:dyDescent="0.3">
      <c r="C9" t="s">
        <v>7</v>
      </c>
      <c r="D9" s="3">
        <f>D5-D8</f>
        <v>14075.25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FABAF-42F5-421F-A0B3-47CEF02EFBF3}">
  <dimension ref="B1:FD35"/>
  <sheetViews>
    <sheetView tabSelected="1" workbookViewId="0">
      <pane xSplit="2" ySplit="2" topLeftCell="AQ15" activePane="bottomRight" state="frozen"/>
      <selection pane="topRight" activeCell="C1" sqref="C1"/>
      <selection pane="bottomLeft" activeCell="A3" sqref="A3"/>
      <selection pane="bottomRight" activeCell="BC28" sqref="BC28"/>
    </sheetView>
  </sheetViews>
  <sheetFormatPr defaultRowHeight="14.4" x14ac:dyDescent="0.3"/>
  <cols>
    <col min="2" max="2" width="17.77734375" bestFit="1" customWidth="1"/>
    <col min="3" max="34" width="10.5546875" customWidth="1"/>
    <col min="36" max="52" width="10.5546875" bestFit="1" customWidth="1"/>
    <col min="54" max="54" width="12" bestFit="1" customWidth="1"/>
    <col min="55" max="55" width="16.88671875" customWidth="1"/>
  </cols>
  <sheetData>
    <row r="1" spans="2:160" x14ac:dyDescent="0.3">
      <c r="C1" s="2">
        <v>43220</v>
      </c>
      <c r="D1" s="2">
        <v>43312</v>
      </c>
      <c r="E1" s="2">
        <v>43404</v>
      </c>
      <c r="F1" s="2">
        <v>43496</v>
      </c>
      <c r="G1" s="2">
        <v>43585</v>
      </c>
      <c r="H1" s="2">
        <v>43677</v>
      </c>
      <c r="I1" s="2">
        <v>43769</v>
      </c>
      <c r="J1" s="2">
        <v>43861</v>
      </c>
      <c r="K1" s="2">
        <v>43951</v>
      </c>
      <c r="L1" s="2">
        <v>44043</v>
      </c>
      <c r="M1" s="2">
        <v>44135</v>
      </c>
      <c r="N1" s="2">
        <v>44227</v>
      </c>
      <c r="O1" s="2">
        <v>44316</v>
      </c>
      <c r="P1" s="2">
        <v>44408</v>
      </c>
      <c r="Q1" s="2">
        <v>44500</v>
      </c>
      <c r="R1" s="2">
        <v>44592</v>
      </c>
      <c r="S1" s="2">
        <v>44681</v>
      </c>
      <c r="T1" s="2">
        <v>44773</v>
      </c>
      <c r="U1" s="2">
        <v>44865</v>
      </c>
      <c r="V1" s="2">
        <v>44957</v>
      </c>
      <c r="W1" s="2">
        <v>45046</v>
      </c>
      <c r="X1" s="2">
        <v>45138</v>
      </c>
      <c r="Y1" s="2">
        <v>45230</v>
      </c>
      <c r="Z1" s="2">
        <v>45322</v>
      </c>
      <c r="AA1" s="2">
        <v>45412</v>
      </c>
      <c r="AB1" s="2">
        <v>45504</v>
      </c>
      <c r="AC1" s="2">
        <v>45596</v>
      </c>
      <c r="AD1" s="2">
        <v>45688</v>
      </c>
      <c r="AE1" s="2">
        <v>45777</v>
      </c>
      <c r="AF1" s="2">
        <v>45869</v>
      </c>
      <c r="AG1" s="2">
        <v>45961</v>
      </c>
      <c r="AH1" s="2">
        <v>46053</v>
      </c>
      <c r="AJ1" s="2">
        <v>43496</v>
      </c>
      <c r="AK1" s="2">
        <v>43861</v>
      </c>
      <c r="AL1" s="2">
        <v>44227</v>
      </c>
      <c r="AM1" s="2">
        <v>44592</v>
      </c>
      <c r="AN1" s="2">
        <v>44957</v>
      </c>
      <c r="AO1" s="2">
        <v>45322</v>
      </c>
      <c r="AP1" s="2">
        <v>45688</v>
      </c>
      <c r="AQ1" s="2">
        <v>46053</v>
      </c>
      <c r="AR1" s="2">
        <v>46418</v>
      </c>
      <c r="AS1" s="2">
        <v>46783</v>
      </c>
      <c r="AT1" s="2">
        <v>47149</v>
      </c>
      <c r="AU1" s="2">
        <v>47514</v>
      </c>
      <c r="AV1" s="2">
        <v>47879</v>
      </c>
      <c r="AW1" s="2">
        <v>48244</v>
      </c>
      <c r="AX1" s="2">
        <v>48610</v>
      </c>
      <c r="AY1" s="2">
        <v>48975</v>
      </c>
      <c r="AZ1" s="2">
        <v>49340</v>
      </c>
    </row>
    <row r="2" spans="2:160" x14ac:dyDescent="0.3">
      <c r="C2" s="6" t="s">
        <v>14</v>
      </c>
      <c r="D2" s="6" t="s">
        <v>15</v>
      </c>
      <c r="E2" s="6" t="s">
        <v>16</v>
      </c>
      <c r="F2" s="6" t="s">
        <v>17</v>
      </c>
      <c r="G2" s="6" t="s">
        <v>18</v>
      </c>
      <c r="H2" s="6" t="s">
        <v>19</v>
      </c>
      <c r="I2" s="6" t="s">
        <v>20</v>
      </c>
      <c r="J2" s="6" t="s">
        <v>11</v>
      </c>
      <c r="K2" s="6" t="s">
        <v>21</v>
      </c>
      <c r="L2" s="6" t="s">
        <v>22</v>
      </c>
      <c r="M2" s="6" t="s">
        <v>23</v>
      </c>
      <c r="N2" s="6" t="s">
        <v>12</v>
      </c>
      <c r="O2" s="6" t="s">
        <v>24</v>
      </c>
      <c r="P2" s="6" t="s">
        <v>25</v>
      </c>
      <c r="Q2" s="6" t="s">
        <v>26</v>
      </c>
      <c r="R2" s="6" t="s">
        <v>27</v>
      </c>
      <c r="S2" s="6" t="s">
        <v>56</v>
      </c>
      <c r="T2" s="6" t="s">
        <v>57</v>
      </c>
      <c r="U2" s="6" t="s">
        <v>58</v>
      </c>
      <c r="V2" s="6" t="s">
        <v>59</v>
      </c>
      <c r="W2" s="6" t="s">
        <v>60</v>
      </c>
      <c r="X2" s="6" t="s">
        <v>61</v>
      </c>
      <c r="Y2" s="6" t="s">
        <v>62</v>
      </c>
      <c r="Z2" s="6" t="s">
        <v>63</v>
      </c>
      <c r="AA2" s="6" t="s">
        <v>64</v>
      </c>
      <c r="AB2" s="6" t="s">
        <v>65</v>
      </c>
      <c r="AC2" s="6" t="s">
        <v>66</v>
      </c>
      <c r="AD2" s="6" t="s">
        <v>67</v>
      </c>
      <c r="AE2" s="6" t="s">
        <v>74</v>
      </c>
      <c r="AF2" s="6" t="s">
        <v>75</v>
      </c>
      <c r="AG2" s="6" t="s">
        <v>76</v>
      </c>
      <c r="AH2" s="6" t="s">
        <v>77</v>
      </c>
      <c r="AJ2">
        <v>2019</v>
      </c>
      <c r="AK2">
        <v>2020</v>
      </c>
      <c r="AL2">
        <v>2021</v>
      </c>
      <c r="AM2">
        <v>2022</v>
      </c>
      <c r="AN2">
        <v>2023</v>
      </c>
      <c r="AO2">
        <v>2024</v>
      </c>
      <c r="AP2">
        <v>2025</v>
      </c>
      <c r="AQ2">
        <v>2026</v>
      </c>
      <c r="AR2">
        <v>2027</v>
      </c>
      <c r="AS2">
        <v>2028</v>
      </c>
      <c r="AT2">
        <v>2029</v>
      </c>
      <c r="AU2">
        <v>2030</v>
      </c>
      <c r="AV2">
        <v>2031</v>
      </c>
      <c r="AW2">
        <v>2032</v>
      </c>
      <c r="AX2">
        <v>2033</v>
      </c>
      <c r="AY2">
        <v>2034</v>
      </c>
      <c r="AZ2">
        <v>2035</v>
      </c>
    </row>
    <row r="3" spans="2:160" s="1" customFormat="1" x14ac:dyDescent="0.3">
      <c r="B3" s="1" t="s">
        <v>13</v>
      </c>
      <c r="C3" s="7">
        <v>60.1</v>
      </c>
      <c r="D3" s="7">
        <v>74.5</v>
      </c>
      <c r="E3" s="7">
        <v>90.1</v>
      </c>
      <c r="F3" s="7">
        <v>105.8</v>
      </c>
      <c r="G3" s="7">
        <v>122</v>
      </c>
      <c r="H3" s="7">
        <v>145.80000000000001</v>
      </c>
      <c r="I3" s="7">
        <v>166.6</v>
      </c>
      <c r="J3" s="7">
        <v>188.3</v>
      </c>
      <c r="K3" s="7">
        <v>328.2</v>
      </c>
      <c r="L3" s="7">
        <v>663.5</v>
      </c>
      <c r="M3" s="7">
        <v>777.2</v>
      </c>
      <c r="N3" s="7">
        <v>882.5</v>
      </c>
      <c r="O3" s="7">
        <v>956.2</v>
      </c>
      <c r="P3" s="7">
        <v>1021.5</v>
      </c>
      <c r="Q3" s="7">
        <v>1050.8</v>
      </c>
      <c r="R3" s="7">
        <v>1071.4000000000001</v>
      </c>
      <c r="S3" s="7">
        <v>1073.8</v>
      </c>
      <c r="T3" s="7">
        <v>1099.5</v>
      </c>
      <c r="U3" s="7">
        <v>1101.9000000000001</v>
      </c>
      <c r="V3" s="7">
        <v>1117.8</v>
      </c>
      <c r="W3" s="7">
        <v>1105.4000000000001</v>
      </c>
      <c r="X3" s="7">
        <v>1138.7</v>
      </c>
      <c r="Y3" s="7">
        <v>1136.7</v>
      </c>
      <c r="Z3" s="7">
        <v>1146.5</v>
      </c>
      <c r="AA3" s="7">
        <v>1141.2</v>
      </c>
      <c r="AB3" s="7">
        <v>1162.5</v>
      </c>
      <c r="AC3" s="7">
        <v>1177.5</v>
      </c>
      <c r="AD3" s="7">
        <v>1184.0999999999999</v>
      </c>
      <c r="AE3" s="7">
        <f>AA3*1.03</f>
        <v>1175.4360000000001</v>
      </c>
      <c r="AF3" s="7">
        <f>AB3*1.03</f>
        <v>1197.375</v>
      </c>
      <c r="AG3" s="7">
        <f>AC3*1.02</f>
        <v>1201.05</v>
      </c>
      <c r="AH3" s="7">
        <f>AD3*1.02</f>
        <v>1207.7819999999999</v>
      </c>
      <c r="AJ3" s="7">
        <f>SUM(C3:F3)</f>
        <v>330.5</v>
      </c>
      <c r="AK3" s="7">
        <f>SUM(G3:J3)</f>
        <v>622.70000000000005</v>
      </c>
      <c r="AL3" s="7">
        <f>SUM(K3:N3)</f>
        <v>2651.4</v>
      </c>
      <c r="AM3" s="7">
        <f>SUM(O3:R3)</f>
        <v>4099.8999999999996</v>
      </c>
      <c r="AN3" s="7">
        <f>SUM(S3:V3)</f>
        <v>4393</v>
      </c>
      <c r="AO3" s="7">
        <f>SUM(W3:Z3)</f>
        <v>4527.3</v>
      </c>
      <c r="AP3" s="7">
        <f>SUM(AA3:AD3)</f>
        <v>4665.2999999999993</v>
      </c>
      <c r="AQ3" s="7">
        <f>SUM(AE3:AH3)</f>
        <v>4781.643</v>
      </c>
      <c r="AR3" s="7">
        <f>AQ3*1.02</f>
        <v>4877.2758599999997</v>
      </c>
      <c r="AS3" s="7">
        <f>AR3*1.01</f>
        <v>4926.0486185999998</v>
      </c>
      <c r="AT3" s="7">
        <f t="shared" ref="AT3:AZ3" si="0">AS3*1.01</f>
        <v>4975.3091047859998</v>
      </c>
      <c r="AU3" s="7">
        <f t="shared" si="0"/>
        <v>5025.0621958338597</v>
      </c>
      <c r="AV3" s="7">
        <f t="shared" si="0"/>
        <v>5075.3128177921981</v>
      </c>
      <c r="AW3" s="7">
        <f t="shared" si="0"/>
        <v>5126.0659459701201</v>
      </c>
      <c r="AX3" s="7">
        <f t="shared" si="0"/>
        <v>5177.326605429821</v>
      </c>
      <c r="AY3" s="7">
        <f t="shared" si="0"/>
        <v>5229.0998714841189</v>
      </c>
      <c r="AZ3" s="7">
        <f t="shared" si="0"/>
        <v>5281.3908701989603</v>
      </c>
    </row>
    <row r="4" spans="2:160" x14ac:dyDescent="0.3">
      <c r="B4" t="s">
        <v>28</v>
      </c>
      <c r="C4" s="3">
        <v>11.7</v>
      </c>
      <c r="D4" s="3">
        <v>13</v>
      </c>
      <c r="E4" s="3">
        <v>16.8</v>
      </c>
      <c r="F4" s="3">
        <v>19.5</v>
      </c>
      <c r="G4" s="3">
        <v>24.1</v>
      </c>
      <c r="H4" s="3">
        <v>27.9</v>
      </c>
      <c r="I4" s="3">
        <v>30.8</v>
      </c>
      <c r="J4" s="3">
        <v>32.5</v>
      </c>
      <c r="K4" s="3">
        <v>103.7</v>
      </c>
      <c r="L4" s="3">
        <v>192.3</v>
      </c>
      <c r="M4" s="3">
        <v>258.7</v>
      </c>
      <c r="N4" s="3">
        <v>267.3</v>
      </c>
      <c r="O4" s="3">
        <v>265</v>
      </c>
      <c r="P4" s="3">
        <v>261.3</v>
      </c>
      <c r="Q4" s="3">
        <v>271</v>
      </c>
      <c r="R4" s="3">
        <v>257.3</v>
      </c>
      <c r="S4" s="3">
        <v>261.8</v>
      </c>
      <c r="T4" s="3">
        <v>273.60000000000002</v>
      </c>
      <c r="U4" s="3">
        <v>270.7</v>
      </c>
      <c r="V4" s="3">
        <v>294.39999999999998</v>
      </c>
      <c r="W4" s="3">
        <v>263.89999999999998</v>
      </c>
      <c r="X4" s="3">
        <v>266.60000000000002</v>
      </c>
      <c r="Y4" s="3">
        <v>271</v>
      </c>
      <c r="Z4" s="3">
        <v>276.3</v>
      </c>
      <c r="AA4" s="3">
        <v>273.3</v>
      </c>
      <c r="AB4" s="3">
        <v>285.10000000000002</v>
      </c>
      <c r="AC4" s="3">
        <v>283.89999999999998</v>
      </c>
      <c r="AD4" s="3">
        <v>287.39999999999998</v>
      </c>
      <c r="AE4" s="3">
        <f>AE3-AE5</f>
        <v>282.10464000000002</v>
      </c>
      <c r="AF4" s="3">
        <f t="shared" ref="AF4:AH4" si="1">AF3-AF5</f>
        <v>287.37</v>
      </c>
      <c r="AG4" s="3">
        <f t="shared" si="1"/>
        <v>288.25199999999995</v>
      </c>
      <c r="AH4" s="3">
        <f t="shared" si="1"/>
        <v>289.86767999999995</v>
      </c>
      <c r="AJ4" s="3">
        <f>SUM(C4:F4)</f>
        <v>61</v>
      </c>
      <c r="AK4" s="3">
        <f>SUM(G4:J4)</f>
        <v>115.3</v>
      </c>
      <c r="AL4" s="3">
        <f>SUM(K4:N4)</f>
        <v>822</v>
      </c>
      <c r="AM4" s="3">
        <f>SUM(O4:R4)</f>
        <v>1054.5999999999999</v>
      </c>
      <c r="AN4" s="3">
        <f>SUM(S4:V4)</f>
        <v>1100.5</v>
      </c>
      <c r="AO4" s="3">
        <f>SUM(W4:Z4)</f>
        <v>1077.8</v>
      </c>
      <c r="AP4" s="3">
        <f>SUM(AA4:AD4)</f>
        <v>1129.7</v>
      </c>
      <c r="AQ4" s="3">
        <f>SUM(AE4:AH4)</f>
        <v>1147.5943199999999</v>
      </c>
      <c r="AR4" s="3">
        <f t="shared" ref="AR4:AW4" si="2">AR3-AR5</f>
        <v>1170.5462063999998</v>
      </c>
      <c r="AS4" s="3">
        <f t="shared" si="2"/>
        <v>1182.251668464</v>
      </c>
      <c r="AT4" s="3">
        <f t="shared" si="2"/>
        <v>1194.07418514864</v>
      </c>
      <c r="AU4" s="3">
        <f t="shared" si="2"/>
        <v>1206.0149270001261</v>
      </c>
      <c r="AV4" s="3">
        <f t="shared" si="2"/>
        <v>1218.0750762701273</v>
      </c>
      <c r="AW4" s="3">
        <f t="shared" si="2"/>
        <v>1230.2558270328286</v>
      </c>
      <c r="AX4" s="3">
        <f t="shared" ref="AX4:AZ4" si="3">AX3-AX5</f>
        <v>1242.5583853031571</v>
      </c>
      <c r="AY4" s="3">
        <f t="shared" si="3"/>
        <v>1254.9839691561883</v>
      </c>
      <c r="AZ4" s="3">
        <f t="shared" si="3"/>
        <v>1267.5338088477506</v>
      </c>
    </row>
    <row r="5" spans="2:160" s="1" customFormat="1" x14ac:dyDescent="0.3">
      <c r="B5" s="1" t="s">
        <v>29</v>
      </c>
      <c r="C5" s="7">
        <f t="shared" ref="C5:P5" si="4">C3-C4</f>
        <v>48.400000000000006</v>
      </c>
      <c r="D5" s="7">
        <f t="shared" si="4"/>
        <v>61.5</v>
      </c>
      <c r="E5" s="7">
        <f t="shared" si="4"/>
        <v>73.3</v>
      </c>
      <c r="F5" s="7">
        <f t="shared" si="4"/>
        <v>86.3</v>
      </c>
      <c r="G5" s="7">
        <f t="shared" si="4"/>
        <v>97.9</v>
      </c>
      <c r="H5" s="7">
        <f t="shared" si="4"/>
        <v>117.9</v>
      </c>
      <c r="I5" s="7">
        <f t="shared" si="4"/>
        <v>135.79999999999998</v>
      </c>
      <c r="J5" s="7">
        <f t="shared" si="4"/>
        <v>155.80000000000001</v>
      </c>
      <c r="K5" s="7">
        <f t="shared" si="4"/>
        <v>224.5</v>
      </c>
      <c r="L5" s="7">
        <f t="shared" si="4"/>
        <v>471.2</v>
      </c>
      <c r="M5" s="7">
        <f t="shared" si="4"/>
        <v>518.5</v>
      </c>
      <c r="N5" s="7">
        <f t="shared" si="4"/>
        <v>615.20000000000005</v>
      </c>
      <c r="O5" s="7">
        <f t="shared" si="4"/>
        <v>691.2</v>
      </c>
      <c r="P5" s="7">
        <f t="shared" si="4"/>
        <v>760.2</v>
      </c>
      <c r="Q5" s="7">
        <f t="shared" ref="Q5:R5" si="5">Q3-Q4</f>
        <v>779.8</v>
      </c>
      <c r="R5" s="7">
        <f t="shared" si="5"/>
        <v>814.10000000000014</v>
      </c>
      <c r="S5" s="7">
        <f t="shared" ref="S5:T5" si="6">S3-S4</f>
        <v>812</v>
      </c>
      <c r="T5" s="7">
        <f t="shared" si="6"/>
        <v>825.9</v>
      </c>
      <c r="U5" s="7">
        <f t="shared" ref="U5" si="7">U3-U4</f>
        <v>831.2</v>
      </c>
      <c r="V5" s="7">
        <f t="shared" ref="V5" si="8">V3-V4</f>
        <v>823.4</v>
      </c>
      <c r="W5" s="7">
        <f t="shared" ref="W5:X5" si="9">W3-W4</f>
        <v>841.50000000000011</v>
      </c>
      <c r="X5" s="7">
        <f t="shared" si="9"/>
        <v>872.1</v>
      </c>
      <c r="Y5" s="7">
        <f t="shared" ref="Y5" si="10">Y3-Y4</f>
        <v>865.7</v>
      </c>
      <c r="Z5" s="7">
        <f t="shared" ref="Z5" si="11">Z3-Z4</f>
        <v>870.2</v>
      </c>
      <c r="AA5" s="7">
        <f t="shared" ref="AA5:AD5" si="12">AA3-AA4</f>
        <v>867.90000000000009</v>
      </c>
      <c r="AB5" s="7">
        <f t="shared" si="12"/>
        <v>877.4</v>
      </c>
      <c r="AC5" s="7">
        <f t="shared" si="12"/>
        <v>893.6</v>
      </c>
      <c r="AD5" s="7">
        <f t="shared" si="12"/>
        <v>896.69999999999993</v>
      </c>
      <c r="AE5" s="7">
        <f>AE3*0.76</f>
        <v>893.33136000000013</v>
      </c>
      <c r="AF5" s="7">
        <f t="shared" ref="AF5:AH5" si="13">AF3*0.76</f>
        <v>910.005</v>
      </c>
      <c r="AG5" s="7">
        <f t="shared" si="13"/>
        <v>912.798</v>
      </c>
      <c r="AH5" s="7">
        <f t="shared" si="13"/>
        <v>917.91431999999998</v>
      </c>
      <c r="AJ5" s="7">
        <f t="shared" ref="AJ5:AQ5" si="14">AJ3-AJ4</f>
        <v>269.5</v>
      </c>
      <c r="AK5" s="7">
        <f t="shared" si="14"/>
        <v>507.40000000000003</v>
      </c>
      <c r="AL5" s="7">
        <f t="shared" si="14"/>
        <v>1829.4</v>
      </c>
      <c r="AM5" s="7">
        <f t="shared" si="14"/>
        <v>3045.2999999999997</v>
      </c>
      <c r="AN5" s="7">
        <f t="shared" si="14"/>
        <v>3292.5</v>
      </c>
      <c r="AO5" s="7">
        <f t="shared" si="14"/>
        <v>3449.5</v>
      </c>
      <c r="AP5" s="7">
        <f t="shared" si="14"/>
        <v>3535.5999999999995</v>
      </c>
      <c r="AQ5" s="7">
        <f t="shared" si="14"/>
        <v>3634.0486799999999</v>
      </c>
      <c r="AR5" s="7">
        <f>AR3*0.76</f>
        <v>3706.7296535999999</v>
      </c>
      <c r="AS5" s="7">
        <f t="shared" ref="AS5:AZ5" si="15">AS3*0.76</f>
        <v>3743.7969501359999</v>
      </c>
      <c r="AT5" s="7">
        <f t="shared" si="15"/>
        <v>3781.2349196373598</v>
      </c>
      <c r="AU5" s="7">
        <f t="shared" si="15"/>
        <v>3819.0472688337336</v>
      </c>
      <c r="AV5" s="7">
        <f t="shared" si="15"/>
        <v>3857.2377415220708</v>
      </c>
      <c r="AW5" s="7">
        <f t="shared" si="15"/>
        <v>3895.8101189372915</v>
      </c>
      <c r="AX5" s="7">
        <f t="shared" si="15"/>
        <v>3934.7682201266639</v>
      </c>
      <c r="AY5" s="7">
        <f t="shared" si="15"/>
        <v>3974.1159023279306</v>
      </c>
      <c r="AZ5" s="7">
        <f t="shared" si="15"/>
        <v>4013.8570613512097</v>
      </c>
    </row>
    <row r="6" spans="2:160" x14ac:dyDescent="0.3">
      <c r="B6" t="s">
        <v>30</v>
      </c>
      <c r="C6" s="3">
        <v>6.3</v>
      </c>
      <c r="D6" s="3">
        <v>7</v>
      </c>
      <c r="E6" s="3">
        <v>8.9</v>
      </c>
      <c r="F6" s="3">
        <v>10.8</v>
      </c>
      <c r="G6" s="3">
        <v>13.8</v>
      </c>
      <c r="H6" s="3">
        <v>15</v>
      </c>
      <c r="I6" s="3">
        <v>17.600000000000001</v>
      </c>
      <c r="J6" s="3">
        <v>20.7</v>
      </c>
      <c r="K6" s="3">
        <v>26.4</v>
      </c>
      <c r="L6" s="3">
        <v>42.7</v>
      </c>
      <c r="M6" s="3">
        <v>42.6</v>
      </c>
      <c r="N6" s="3">
        <v>52.4</v>
      </c>
      <c r="O6" s="3">
        <v>65.2</v>
      </c>
      <c r="P6" s="3">
        <v>82.3</v>
      </c>
      <c r="Q6" s="3">
        <v>98.5</v>
      </c>
      <c r="R6" s="3">
        <v>117</v>
      </c>
      <c r="S6" s="3">
        <v>144.30000000000001</v>
      </c>
      <c r="T6" s="3">
        <v>172.6</v>
      </c>
      <c r="U6" s="3">
        <v>195.9</v>
      </c>
      <c r="V6" s="3">
        <v>261.3</v>
      </c>
      <c r="W6" s="3">
        <v>209.3</v>
      </c>
      <c r="X6" s="3">
        <v>191.8</v>
      </c>
      <c r="Y6" s="3">
        <v>196.8</v>
      </c>
      <c r="Z6" s="3">
        <v>205.3</v>
      </c>
      <c r="AA6" s="3">
        <v>205.6</v>
      </c>
      <c r="AB6" s="3">
        <v>206.8</v>
      </c>
      <c r="AC6" s="3">
        <v>223</v>
      </c>
      <c r="AD6" s="3">
        <v>217.1</v>
      </c>
      <c r="AE6" s="3">
        <f>AA6*1.09</f>
        <v>224.10400000000001</v>
      </c>
      <c r="AF6" s="3">
        <f>AB6*1.05</f>
        <v>217.14000000000001</v>
      </c>
      <c r="AG6" s="3">
        <f>AC6*1.04</f>
        <v>231.92000000000002</v>
      </c>
      <c r="AH6" s="3">
        <f>AD6*1.03</f>
        <v>223.613</v>
      </c>
      <c r="AJ6" s="3">
        <f>SUM(C6:F6)</f>
        <v>33</v>
      </c>
      <c r="AK6" s="3">
        <f>SUM(G6:J6)</f>
        <v>67.100000000000009</v>
      </c>
      <c r="AL6" s="3">
        <f>SUM(K6:N6)</f>
        <v>164.1</v>
      </c>
      <c r="AM6" s="3">
        <f>SUM(O6:R6)</f>
        <v>363</v>
      </c>
      <c r="AN6" s="3">
        <f>SUM(S6:V6)</f>
        <v>774.09999999999991</v>
      </c>
      <c r="AO6" s="3">
        <f>SUM(W6:Z6)</f>
        <v>803.2</v>
      </c>
      <c r="AP6" s="3">
        <f>SUM(AA6:AD6)</f>
        <v>852.5</v>
      </c>
      <c r="AQ6" s="3">
        <f>SUM(AE6:AH6)</f>
        <v>896.77700000000004</v>
      </c>
      <c r="AR6" s="3">
        <f>AQ6*1.04</f>
        <v>932.64808000000005</v>
      </c>
      <c r="AS6" s="3">
        <f>AR6*1.03</f>
        <v>960.62752240000009</v>
      </c>
      <c r="AT6" s="3">
        <f>AS6*1.02</f>
        <v>979.84007284800009</v>
      </c>
      <c r="AU6" s="3">
        <f t="shared" ref="AU6:AW8" si="16">AT6*1.01</f>
        <v>989.63847357648012</v>
      </c>
      <c r="AV6" s="3">
        <f t="shared" si="16"/>
        <v>999.53485831224498</v>
      </c>
      <c r="AW6" s="3">
        <f t="shared" si="16"/>
        <v>1009.5302068953674</v>
      </c>
      <c r="AX6" s="3">
        <f t="shared" ref="AX6" si="17">AW6*1.01</f>
        <v>1019.6255089643211</v>
      </c>
      <c r="AY6" s="3">
        <f t="shared" ref="AY6" si="18">AX6*1.01</f>
        <v>1029.8217640539642</v>
      </c>
      <c r="AZ6" s="3">
        <f t="shared" ref="AZ6" si="19">AY6*1.01</f>
        <v>1040.1199816945038</v>
      </c>
    </row>
    <row r="7" spans="2:160" x14ac:dyDescent="0.3">
      <c r="B7" t="s">
        <v>31</v>
      </c>
      <c r="C7" s="3">
        <v>36.299999999999997</v>
      </c>
      <c r="D7" s="3">
        <v>41</v>
      </c>
      <c r="E7" s="3">
        <v>53.5</v>
      </c>
      <c r="F7" s="3">
        <v>55.1</v>
      </c>
      <c r="G7" s="3">
        <v>64</v>
      </c>
      <c r="H7" s="3">
        <v>79.7</v>
      </c>
      <c r="I7" s="3">
        <v>96</v>
      </c>
      <c r="J7" s="3">
        <v>100.9</v>
      </c>
      <c r="K7" s="3">
        <v>121.6</v>
      </c>
      <c r="L7" s="3">
        <v>159.19999999999999</v>
      </c>
      <c r="M7" s="3">
        <v>190.2</v>
      </c>
      <c r="N7" s="3">
        <v>214</v>
      </c>
      <c r="O7" s="3">
        <v>245.7</v>
      </c>
      <c r="P7" s="3">
        <v>271.2</v>
      </c>
      <c r="Q7" s="3">
        <v>293.7</v>
      </c>
      <c r="R7" s="3">
        <v>325.39999999999998</v>
      </c>
      <c r="S7" s="3">
        <v>362.8</v>
      </c>
      <c r="T7" s="3">
        <v>400.5</v>
      </c>
      <c r="U7" s="3">
        <v>427.7</v>
      </c>
      <c r="V7" s="3">
        <v>505.6</v>
      </c>
      <c r="W7" s="3">
        <v>422.5</v>
      </c>
      <c r="X7" s="3">
        <v>373.4</v>
      </c>
      <c r="Y7" s="3">
        <v>374.4</v>
      </c>
      <c r="Z7" s="3">
        <v>371.1</v>
      </c>
      <c r="AA7" s="3">
        <v>348</v>
      </c>
      <c r="AB7" s="3">
        <v>358.8</v>
      </c>
      <c r="AC7" s="3">
        <v>361.7</v>
      </c>
      <c r="AD7" s="3">
        <v>358.9</v>
      </c>
      <c r="AE7" s="3">
        <f>AE3*0.3</f>
        <v>352.63080000000002</v>
      </c>
      <c r="AF7" s="3">
        <f t="shared" ref="AF7:AH7" si="20">AF3*0.3</f>
        <v>359.21249999999998</v>
      </c>
      <c r="AG7" s="3">
        <f t="shared" si="20"/>
        <v>360.315</v>
      </c>
      <c r="AH7" s="3">
        <f t="shared" si="20"/>
        <v>362.33459999999997</v>
      </c>
      <c r="AJ7" s="3">
        <f>SUM(C7:F7)</f>
        <v>185.9</v>
      </c>
      <c r="AK7" s="3">
        <f>SUM(G7:J7)</f>
        <v>340.6</v>
      </c>
      <c r="AL7" s="3">
        <f>SUM(K7:N7)</f>
        <v>685</v>
      </c>
      <c r="AM7" s="3">
        <f>SUM(O7:R7)</f>
        <v>1136</v>
      </c>
      <c r="AN7" s="3">
        <f>SUM(S7:V7)</f>
        <v>1696.6</v>
      </c>
      <c r="AO7" s="3">
        <f>SUM(W7:Z7)</f>
        <v>1541.4</v>
      </c>
      <c r="AP7" s="3">
        <f>SUM(AA7:AD7)</f>
        <v>1427.4</v>
      </c>
      <c r="AQ7" s="3">
        <f>SUM(AE7:AH7)</f>
        <v>1434.4929</v>
      </c>
      <c r="AR7" s="3">
        <f>AR3*0.29</f>
        <v>1414.4099993999998</v>
      </c>
      <c r="AS7" s="3">
        <f t="shared" ref="AS7:AZ7" si="21">AS3*0.29</f>
        <v>1428.5540993939999</v>
      </c>
      <c r="AT7" s="3">
        <f t="shared" si="21"/>
        <v>1442.8396403879399</v>
      </c>
      <c r="AU7" s="3">
        <f t="shared" si="21"/>
        <v>1457.2680367918192</v>
      </c>
      <c r="AV7" s="3">
        <f t="shared" si="21"/>
        <v>1471.8407171597373</v>
      </c>
      <c r="AW7" s="3">
        <f t="shared" si="21"/>
        <v>1486.5591243313347</v>
      </c>
      <c r="AX7" s="3">
        <f t="shared" si="21"/>
        <v>1501.424715574648</v>
      </c>
      <c r="AY7" s="3">
        <f t="shared" si="21"/>
        <v>1516.4389627303945</v>
      </c>
      <c r="AZ7" s="3">
        <f t="shared" si="21"/>
        <v>1531.6033523576984</v>
      </c>
    </row>
    <row r="8" spans="2:160" x14ac:dyDescent="0.3">
      <c r="B8" t="s">
        <v>32</v>
      </c>
      <c r="C8" s="3">
        <v>7.6</v>
      </c>
      <c r="D8" s="3">
        <v>10</v>
      </c>
      <c r="E8" s="3">
        <v>12</v>
      </c>
      <c r="F8" s="3">
        <v>14.9</v>
      </c>
      <c r="G8" s="3">
        <v>18.5</v>
      </c>
      <c r="H8" s="3">
        <v>21</v>
      </c>
      <c r="I8" s="3">
        <v>23.8</v>
      </c>
      <c r="J8" s="3">
        <v>23.6</v>
      </c>
      <c r="K8" s="3">
        <v>53.1</v>
      </c>
      <c r="L8" s="3">
        <v>81.2</v>
      </c>
      <c r="M8" s="3">
        <v>93.4</v>
      </c>
      <c r="N8" s="3">
        <v>92.7</v>
      </c>
      <c r="O8" s="3">
        <v>154.1</v>
      </c>
      <c r="P8" s="3">
        <v>112.1</v>
      </c>
      <c r="Q8" s="3">
        <v>96.7</v>
      </c>
      <c r="R8" s="3">
        <v>119.8</v>
      </c>
      <c r="S8" s="3">
        <v>117.8</v>
      </c>
      <c r="T8" s="3">
        <v>131.1</v>
      </c>
      <c r="U8" s="3">
        <v>141</v>
      </c>
      <c r="V8" s="3">
        <v>186.5</v>
      </c>
      <c r="W8" s="3">
        <v>199.9</v>
      </c>
      <c r="X8" s="3">
        <v>129.30000000000001</v>
      </c>
      <c r="Y8" s="3">
        <v>125.1</v>
      </c>
      <c r="Z8" s="3">
        <v>125.3</v>
      </c>
      <c r="AA8" s="3">
        <v>111.3</v>
      </c>
      <c r="AB8" s="3">
        <v>109.5</v>
      </c>
      <c r="AC8" s="3">
        <v>126.1</v>
      </c>
      <c r="AD8" s="3">
        <v>95.7</v>
      </c>
      <c r="AE8" s="3">
        <f>AA8*0.9</f>
        <v>100.17</v>
      </c>
      <c r="AF8" s="3">
        <f t="shared" ref="AF8:AG8" si="22">AB8*0.9</f>
        <v>98.55</v>
      </c>
      <c r="AG8" s="3">
        <f t="shared" si="22"/>
        <v>113.49</v>
      </c>
      <c r="AH8" s="3">
        <f>AD8*1.05</f>
        <v>100.48500000000001</v>
      </c>
      <c r="AJ8" s="3">
        <f>SUM(C8:F8)</f>
        <v>44.5</v>
      </c>
      <c r="AK8" s="3">
        <f>SUM(G8:J8)</f>
        <v>86.9</v>
      </c>
      <c r="AL8" s="3">
        <f>SUM(K8:N8)</f>
        <v>320.40000000000003</v>
      </c>
      <c r="AM8" s="3">
        <f>SUM(O8:R8)</f>
        <v>482.7</v>
      </c>
      <c r="AN8" s="3">
        <f>SUM(S8:V8)</f>
        <v>576.4</v>
      </c>
      <c r="AO8" s="3">
        <f>SUM(W8:Z8)</f>
        <v>579.6</v>
      </c>
      <c r="AP8" s="3">
        <f>SUM(AA8:AD8)</f>
        <v>442.59999999999997</v>
      </c>
      <c r="AQ8" s="3">
        <f>SUM(AE8:AH8)</f>
        <v>412.69499999999999</v>
      </c>
      <c r="AR8" s="3">
        <f>AQ8*1.02</f>
        <v>420.94889999999998</v>
      </c>
      <c r="AS8" s="3">
        <f>AR8*1.02</f>
        <v>429.36787799999996</v>
      </c>
      <c r="AT8" s="3">
        <f>AS8*1.02</f>
        <v>437.95523555999995</v>
      </c>
      <c r="AU8" s="3">
        <f t="shared" si="16"/>
        <v>442.33478791559997</v>
      </c>
      <c r="AV8" s="3">
        <f t="shared" si="16"/>
        <v>446.75813579475596</v>
      </c>
      <c r="AW8" s="3">
        <f t="shared" si="16"/>
        <v>451.22571715270351</v>
      </c>
      <c r="AX8" s="3">
        <f t="shared" ref="AX8" si="23">AW8*1.01</f>
        <v>455.73797432423055</v>
      </c>
      <c r="AY8" s="3">
        <f t="shared" ref="AY8" si="24">AX8*1.01</f>
        <v>460.29535406747289</v>
      </c>
      <c r="AZ8" s="3">
        <f t="shared" ref="AZ8" si="25">AY8*1.01</f>
        <v>464.8983076081476</v>
      </c>
    </row>
    <row r="9" spans="2:160" s="1" customFormat="1" x14ac:dyDescent="0.3">
      <c r="B9" s="1" t="s">
        <v>33</v>
      </c>
      <c r="C9" s="7">
        <f t="shared" ref="C9:P9" si="26">C5-C6-C7-C8</f>
        <v>-1.7999999999999883</v>
      </c>
      <c r="D9" s="7">
        <f t="shared" si="26"/>
        <v>3.5</v>
      </c>
      <c r="E9" s="7">
        <f t="shared" si="26"/>
        <v>-1.1000000000000085</v>
      </c>
      <c r="F9" s="7">
        <f t="shared" si="26"/>
        <v>5.4999999999999982</v>
      </c>
      <c r="G9" s="7">
        <f t="shared" si="26"/>
        <v>1.6000000000000085</v>
      </c>
      <c r="H9" s="7">
        <f t="shared" si="26"/>
        <v>2.2000000000000028</v>
      </c>
      <c r="I9" s="7">
        <f t="shared" si="26"/>
        <v>-1.6000000000000121</v>
      </c>
      <c r="J9" s="7">
        <f t="shared" si="26"/>
        <v>10.600000000000016</v>
      </c>
      <c r="K9" s="7">
        <f t="shared" si="26"/>
        <v>23.4</v>
      </c>
      <c r="L9" s="7">
        <f t="shared" si="26"/>
        <v>188.10000000000002</v>
      </c>
      <c r="M9" s="7">
        <f t="shared" si="26"/>
        <v>192.29999999999998</v>
      </c>
      <c r="N9" s="7">
        <f t="shared" si="26"/>
        <v>256.10000000000008</v>
      </c>
      <c r="O9" s="7">
        <f t="shared" si="26"/>
        <v>226.20000000000002</v>
      </c>
      <c r="P9" s="7">
        <f t="shared" si="26"/>
        <v>294.60000000000014</v>
      </c>
      <c r="Q9" s="7">
        <f t="shared" ref="Q9" si="27">Q5-Q6-Q7-Q8</f>
        <v>290.89999999999998</v>
      </c>
      <c r="R9" s="7">
        <f t="shared" ref="R9" si="28">R5-R6-R7-R8</f>
        <v>251.90000000000015</v>
      </c>
      <c r="S9" s="7">
        <f t="shared" ref="S9:T9" si="29">S5-S6-S7-S8</f>
        <v>187.10000000000002</v>
      </c>
      <c r="T9" s="7">
        <f t="shared" si="29"/>
        <v>121.69999999999996</v>
      </c>
      <c r="U9" s="7">
        <f t="shared" ref="U9" si="30">U5-U6-U7-U8</f>
        <v>66.60000000000008</v>
      </c>
      <c r="V9" s="7">
        <f t="shared" ref="V9" si="31">V5-V6-V7-V8</f>
        <v>-130.00000000000011</v>
      </c>
      <c r="W9" s="7">
        <f t="shared" ref="W9:X9" si="32">W5-W6-W7-W8</f>
        <v>9.8000000000000398</v>
      </c>
      <c r="X9" s="7">
        <f t="shared" si="32"/>
        <v>177.59999999999997</v>
      </c>
      <c r="Y9" s="7">
        <f t="shared" ref="Y9" si="33">Y5-Y6-Y7-Y8</f>
        <v>169.40000000000012</v>
      </c>
      <c r="Z9" s="7">
        <f t="shared" ref="Z9" si="34">Z5-Z6-Z7-Z8</f>
        <v>168.50000000000006</v>
      </c>
      <c r="AA9" s="7">
        <f t="shared" ref="AA9:AH9" si="35">AA5-AA6-AA7-AA8</f>
        <v>203.00000000000006</v>
      </c>
      <c r="AB9" s="7">
        <f t="shared" si="35"/>
        <v>202.2999999999999</v>
      </c>
      <c r="AC9" s="7">
        <f t="shared" si="35"/>
        <v>182.80000000000004</v>
      </c>
      <c r="AD9" s="7">
        <f t="shared" si="35"/>
        <v>224.99999999999994</v>
      </c>
      <c r="AE9" s="7">
        <f t="shared" si="35"/>
        <v>216.42656000000005</v>
      </c>
      <c r="AF9" s="7">
        <f t="shared" si="35"/>
        <v>235.10250000000002</v>
      </c>
      <c r="AG9" s="7">
        <f t="shared" si="35"/>
        <v>207.07299999999992</v>
      </c>
      <c r="AH9" s="7">
        <f t="shared" si="35"/>
        <v>231.48172000000005</v>
      </c>
      <c r="AJ9" s="7">
        <f>AJ5-AJ6-AJ7-AJ8</f>
        <v>6.0999999999999943</v>
      </c>
      <c r="AK9" s="7">
        <f>AK5-AK6-AK7-AK8</f>
        <v>12.799999999999983</v>
      </c>
      <c r="AL9" s="7">
        <f>AL5-AL6-AL7-AL8</f>
        <v>659.90000000000009</v>
      </c>
      <c r="AM9" s="7">
        <f>AM5-AM6-AM7-AM8</f>
        <v>1063.5999999999997</v>
      </c>
      <c r="AN9" s="7">
        <f t="shared" ref="AN9:AW9" si="36">AN5-AN6-AN7-AN8</f>
        <v>245.4000000000002</v>
      </c>
      <c r="AO9" s="7">
        <f t="shared" si="36"/>
        <v>525.30000000000007</v>
      </c>
      <c r="AP9" s="7">
        <f t="shared" si="36"/>
        <v>813.09999999999945</v>
      </c>
      <c r="AQ9" s="7">
        <f t="shared" si="36"/>
        <v>890.08377999999993</v>
      </c>
      <c r="AR9" s="7">
        <f t="shared" si="36"/>
        <v>938.72267420000014</v>
      </c>
      <c r="AS9" s="7">
        <f t="shared" si="36"/>
        <v>925.24745034199987</v>
      </c>
      <c r="AT9" s="7">
        <f t="shared" si="36"/>
        <v>920.59997084141992</v>
      </c>
      <c r="AU9" s="7">
        <f t="shared" si="36"/>
        <v>929.80597054983446</v>
      </c>
      <c r="AV9" s="7">
        <f t="shared" si="36"/>
        <v>939.10403025533253</v>
      </c>
      <c r="AW9" s="7">
        <f t="shared" si="36"/>
        <v>948.49507055788581</v>
      </c>
      <c r="AX9" s="7">
        <f t="shared" ref="AX9:AZ9" si="37">AX5-AX6-AX7-AX8</f>
        <v>957.98002126346444</v>
      </c>
      <c r="AY9" s="7">
        <f t="shared" si="37"/>
        <v>967.55982147609905</v>
      </c>
      <c r="AZ9" s="7">
        <f t="shared" si="37"/>
        <v>977.23541969085954</v>
      </c>
    </row>
    <row r="10" spans="2:160" x14ac:dyDescent="0.3">
      <c r="B10" t="s">
        <v>34</v>
      </c>
      <c r="C10" s="3">
        <v>-0.4</v>
      </c>
      <c r="D10" s="3">
        <v>-0.6</v>
      </c>
      <c r="E10" s="3">
        <v>-0.6</v>
      </c>
      <c r="F10" s="3">
        <v>-0.6</v>
      </c>
      <c r="G10" s="3">
        <v>-1</v>
      </c>
      <c r="H10" s="3">
        <v>-4.5</v>
      </c>
      <c r="I10" s="3">
        <v>-4.2</v>
      </c>
      <c r="J10" s="3">
        <v>-4</v>
      </c>
      <c r="K10" s="3">
        <v>-5.8</v>
      </c>
      <c r="L10" s="3">
        <v>-2.1</v>
      </c>
      <c r="M10" s="3">
        <v>-1.8</v>
      </c>
      <c r="N10" s="3">
        <v>-8.5</v>
      </c>
      <c r="O10" s="3">
        <v>-2.6</v>
      </c>
      <c r="P10" s="3">
        <f>-32.1+2.8</f>
        <v>-29.3</v>
      </c>
      <c r="Q10" s="3">
        <f>-122.4+3</f>
        <v>-119.4</v>
      </c>
      <c r="R10" s="3">
        <f>110.7+2.5</f>
        <v>113.2</v>
      </c>
      <c r="S10" s="3">
        <f>36.4+7</f>
        <v>43.4</v>
      </c>
      <c r="T10" s="3">
        <f>34.7-3.4</f>
        <v>31.300000000000004</v>
      </c>
      <c r="U10" s="3">
        <f>6.9+4.9</f>
        <v>11.8</v>
      </c>
      <c r="V10" s="3">
        <f>-40.4-49.9</f>
        <v>-90.3</v>
      </c>
      <c r="W10" s="3">
        <f>-2.3-31.2</f>
        <v>-33.5</v>
      </c>
      <c r="X10" s="3">
        <f>-31.7-41.1</f>
        <v>-72.8</v>
      </c>
      <c r="Y10" s="3">
        <f>25.5-41.9</f>
        <v>-16.399999999999999</v>
      </c>
      <c r="Z10" s="3">
        <f>-101.3-83.1</f>
        <v>-184.39999999999998</v>
      </c>
      <c r="AA10" s="3">
        <f>-17.4-71.6</f>
        <v>-89</v>
      </c>
      <c r="AB10" s="3">
        <f>-3.1-87.4</f>
        <v>-90.5</v>
      </c>
      <c r="AC10" s="3">
        <f>-6.3-91.2</f>
        <v>-97.5</v>
      </c>
      <c r="AD10" s="3">
        <f>-150.4-74.9</f>
        <v>-225.3</v>
      </c>
      <c r="AE10" s="3">
        <v>-100</v>
      </c>
      <c r="AF10" s="3">
        <v>-100</v>
      </c>
      <c r="AG10" s="3">
        <v>-100</v>
      </c>
      <c r="AH10" s="3">
        <v>-100</v>
      </c>
      <c r="AJ10" s="3">
        <f>SUM(C10:F10)</f>
        <v>-2.2000000000000002</v>
      </c>
      <c r="AK10" s="3">
        <f>SUM(G10:J10)</f>
        <v>-13.7</v>
      </c>
      <c r="AL10" s="3">
        <f>SUM(K10:N10)</f>
        <v>-18.200000000000003</v>
      </c>
      <c r="AM10" s="3">
        <f>SUM(O10:R10)</f>
        <v>-38.100000000000009</v>
      </c>
      <c r="AN10" s="3">
        <f>SUM(S10:V10)</f>
        <v>-3.7999999999999972</v>
      </c>
      <c r="AO10" s="3">
        <f>SUM(W10:Z10)</f>
        <v>-307.09999999999997</v>
      </c>
      <c r="AP10" s="3">
        <f>SUM(AA10:AD10)</f>
        <v>-502.3</v>
      </c>
      <c r="AQ10" s="3">
        <f>SUM(AE10:AH10)</f>
        <v>-400</v>
      </c>
      <c r="AR10" s="3">
        <f>AQ10*1.01</f>
        <v>-404</v>
      </c>
      <c r="AS10" s="3">
        <f t="shared" ref="AS10:AZ10" si="38">AR10*1.01</f>
        <v>-408.04</v>
      </c>
      <c r="AT10" s="3">
        <f t="shared" si="38"/>
        <v>-412.12040000000002</v>
      </c>
      <c r="AU10" s="3">
        <f t="shared" si="38"/>
        <v>-416.241604</v>
      </c>
      <c r="AV10" s="3">
        <f t="shared" si="38"/>
        <v>-420.40402003999998</v>
      </c>
      <c r="AW10" s="3">
        <f t="shared" si="38"/>
        <v>-424.60806024039999</v>
      </c>
      <c r="AX10" s="3">
        <f t="shared" si="38"/>
        <v>-428.85414084280399</v>
      </c>
      <c r="AY10" s="3">
        <f t="shared" si="38"/>
        <v>-433.14268225123203</v>
      </c>
      <c r="AZ10" s="3">
        <f t="shared" si="38"/>
        <v>-437.47410907374433</v>
      </c>
    </row>
    <row r="11" spans="2:160" s="1" customFormat="1" x14ac:dyDescent="0.3">
      <c r="B11" s="1" t="s">
        <v>35</v>
      </c>
      <c r="C11" s="7">
        <f t="shared" ref="C11:P11" si="39">C9-C10</f>
        <v>-1.3999999999999884</v>
      </c>
      <c r="D11" s="7">
        <f t="shared" si="39"/>
        <v>4.0999999999999996</v>
      </c>
      <c r="E11" s="7">
        <f t="shared" si="39"/>
        <v>-0.50000000000000855</v>
      </c>
      <c r="F11" s="7">
        <f t="shared" si="39"/>
        <v>6.0999999999999979</v>
      </c>
      <c r="G11" s="7">
        <f t="shared" si="39"/>
        <v>2.6000000000000085</v>
      </c>
      <c r="H11" s="7">
        <f t="shared" si="39"/>
        <v>6.7000000000000028</v>
      </c>
      <c r="I11" s="7">
        <f t="shared" si="39"/>
        <v>2.5999999999999881</v>
      </c>
      <c r="J11" s="7">
        <f t="shared" si="39"/>
        <v>14.600000000000016</v>
      </c>
      <c r="K11" s="7">
        <f t="shared" si="39"/>
        <v>29.2</v>
      </c>
      <c r="L11" s="7">
        <f t="shared" si="39"/>
        <v>190.20000000000002</v>
      </c>
      <c r="M11" s="7">
        <f t="shared" si="39"/>
        <v>194.1</v>
      </c>
      <c r="N11" s="7">
        <f t="shared" si="39"/>
        <v>264.60000000000008</v>
      </c>
      <c r="O11" s="7">
        <f t="shared" si="39"/>
        <v>228.8</v>
      </c>
      <c r="P11" s="7">
        <f t="shared" si="39"/>
        <v>323.90000000000015</v>
      </c>
      <c r="Q11" s="7">
        <f t="shared" ref="Q11" si="40">Q9-Q10</f>
        <v>410.29999999999995</v>
      </c>
      <c r="R11" s="7">
        <f t="shared" ref="R11" si="41">R9-R10</f>
        <v>138.70000000000016</v>
      </c>
      <c r="S11" s="7">
        <f t="shared" ref="S11:T11" si="42">S9-S10</f>
        <v>143.70000000000002</v>
      </c>
      <c r="T11" s="7">
        <f t="shared" si="42"/>
        <v>90.399999999999949</v>
      </c>
      <c r="U11" s="7">
        <f t="shared" ref="U11" si="43">U9-U10</f>
        <v>54.800000000000082</v>
      </c>
      <c r="V11" s="7">
        <f t="shared" ref="V11" si="44">V9-V10</f>
        <v>-39.700000000000117</v>
      </c>
      <c r="W11" s="7">
        <f t="shared" ref="W11:X11" si="45">W9-W10</f>
        <v>43.30000000000004</v>
      </c>
      <c r="X11" s="7">
        <f t="shared" si="45"/>
        <v>250.39999999999998</v>
      </c>
      <c r="Y11" s="7">
        <f t="shared" ref="Y11" si="46">Y9-Y10</f>
        <v>185.80000000000013</v>
      </c>
      <c r="Z11" s="7">
        <f t="shared" ref="Z11" si="47">Z9-Z10</f>
        <v>352.90000000000003</v>
      </c>
      <c r="AA11" s="7">
        <f t="shared" ref="AA11:AH11" si="48">AA9-AA10</f>
        <v>292.00000000000006</v>
      </c>
      <c r="AB11" s="7">
        <f t="shared" si="48"/>
        <v>292.7999999999999</v>
      </c>
      <c r="AC11" s="7">
        <f t="shared" si="48"/>
        <v>280.30000000000007</v>
      </c>
      <c r="AD11" s="7">
        <f t="shared" si="48"/>
        <v>450.29999999999995</v>
      </c>
      <c r="AE11" s="7">
        <f t="shared" si="48"/>
        <v>316.42656000000005</v>
      </c>
      <c r="AF11" s="7">
        <f t="shared" si="48"/>
        <v>335.10250000000002</v>
      </c>
      <c r="AG11" s="7">
        <f t="shared" si="48"/>
        <v>307.07299999999992</v>
      </c>
      <c r="AH11" s="7">
        <f t="shared" si="48"/>
        <v>331.48172000000005</v>
      </c>
      <c r="AJ11" s="7">
        <f>AJ9-AJ10</f>
        <v>8.2999999999999936</v>
      </c>
      <c r="AK11" s="7">
        <f>AK9-AK10</f>
        <v>26.499999999999982</v>
      </c>
      <c r="AL11" s="7">
        <f>AL9-AL10</f>
        <v>678.10000000000014</v>
      </c>
      <c r="AM11" s="7">
        <f>AM9-AM10</f>
        <v>1101.6999999999996</v>
      </c>
      <c r="AN11" s="7">
        <f t="shared" ref="AN11:AW11" si="49">AN9-AN10</f>
        <v>249.20000000000022</v>
      </c>
      <c r="AO11" s="7">
        <f t="shared" si="49"/>
        <v>832.40000000000009</v>
      </c>
      <c r="AP11" s="7">
        <f t="shared" si="49"/>
        <v>1315.3999999999994</v>
      </c>
      <c r="AQ11" s="7">
        <f t="shared" si="49"/>
        <v>1290.0837799999999</v>
      </c>
      <c r="AR11" s="7">
        <f t="shared" si="49"/>
        <v>1342.7226742000003</v>
      </c>
      <c r="AS11" s="7">
        <f t="shared" si="49"/>
        <v>1333.2874503419998</v>
      </c>
      <c r="AT11" s="7">
        <f t="shared" si="49"/>
        <v>1332.7203708414199</v>
      </c>
      <c r="AU11" s="7">
        <f t="shared" si="49"/>
        <v>1346.0475745498345</v>
      </c>
      <c r="AV11" s="7">
        <f t="shared" si="49"/>
        <v>1359.5080502953324</v>
      </c>
      <c r="AW11" s="7">
        <f t="shared" si="49"/>
        <v>1373.1031307982857</v>
      </c>
      <c r="AX11" s="7">
        <f t="shared" ref="AX11:AZ11" si="50">AX9-AX10</f>
        <v>1386.8341621062684</v>
      </c>
      <c r="AY11" s="7">
        <f t="shared" si="50"/>
        <v>1400.7025037273311</v>
      </c>
      <c r="AZ11" s="7">
        <f t="shared" si="50"/>
        <v>1414.7095287646039</v>
      </c>
    </row>
    <row r="12" spans="2:160" x14ac:dyDescent="0.3">
      <c r="B12" t="s">
        <v>36</v>
      </c>
      <c r="C12" s="3">
        <v>0.1</v>
      </c>
      <c r="D12" s="3">
        <v>0.1</v>
      </c>
      <c r="E12" s="3">
        <v>0.1</v>
      </c>
      <c r="F12" s="3">
        <v>-0.4</v>
      </c>
      <c r="G12" s="3">
        <v>0.3</v>
      </c>
      <c r="H12" s="3">
        <v>1.2</v>
      </c>
      <c r="I12" s="3">
        <v>0.3</v>
      </c>
      <c r="J12" s="3">
        <v>-0.8</v>
      </c>
      <c r="K12" s="3">
        <v>2.1</v>
      </c>
      <c r="L12" s="3">
        <v>4.2</v>
      </c>
      <c r="M12" s="3">
        <v>-4.5999999999999996</v>
      </c>
      <c r="N12" s="3">
        <v>4</v>
      </c>
      <c r="O12" s="3">
        <v>1.4</v>
      </c>
      <c r="P12" s="3">
        <v>6.8</v>
      </c>
      <c r="Q12" s="3">
        <v>69.900000000000006</v>
      </c>
      <c r="R12" s="3">
        <v>-352.1</v>
      </c>
      <c r="S12" s="3">
        <v>30</v>
      </c>
      <c r="T12" s="3">
        <v>44.6</v>
      </c>
      <c r="U12" s="3">
        <v>6.4</v>
      </c>
      <c r="V12" s="3">
        <v>64.5</v>
      </c>
      <c r="W12" s="3">
        <v>27.8</v>
      </c>
      <c r="X12" s="3">
        <v>68.400000000000006</v>
      </c>
      <c r="Y12" s="3">
        <v>44.6</v>
      </c>
      <c r="Z12" s="3">
        <v>54.1</v>
      </c>
      <c r="AA12" s="3">
        <v>75.7</v>
      </c>
      <c r="AB12" s="3">
        <v>73.900000000000006</v>
      </c>
      <c r="AC12" s="3">
        <v>73.400000000000006</v>
      </c>
      <c r="AD12" s="3">
        <v>82.5</v>
      </c>
      <c r="AE12" s="3">
        <f>AE11*0.25</f>
        <v>79.106640000000013</v>
      </c>
      <c r="AF12" s="3">
        <f t="shared" ref="AF12:AG12" si="51">AF11*0.25</f>
        <v>83.775625000000005</v>
      </c>
      <c r="AG12" s="3">
        <f t="shared" si="51"/>
        <v>76.768249999999981</v>
      </c>
      <c r="AH12" s="3">
        <f>AH11*0.2</f>
        <v>66.296344000000019</v>
      </c>
      <c r="AJ12" s="3">
        <f>SUM(C12:F12)</f>
        <v>-9.9999999999999978E-2</v>
      </c>
      <c r="AK12" s="3">
        <f>SUM(G12:J12)</f>
        <v>1</v>
      </c>
      <c r="AL12" s="3">
        <f>SUM(K12:N12)</f>
        <v>5.7000000000000011</v>
      </c>
      <c r="AM12" s="3">
        <f>SUM(O12:R12)</f>
        <v>-274</v>
      </c>
      <c r="AN12" s="3">
        <f>SUM(S12:V12)</f>
        <v>145.5</v>
      </c>
      <c r="AO12" s="3">
        <f>SUM(W12:Z12)</f>
        <v>194.9</v>
      </c>
      <c r="AP12" s="3">
        <f>SUM(AA12:AD12)</f>
        <v>305.5</v>
      </c>
      <c r="AQ12" s="3">
        <f>SUM(AE12:AH12)</f>
        <v>305.94685900000002</v>
      </c>
      <c r="AR12" s="3">
        <f>AR11*0.24</f>
        <v>322.25344180800005</v>
      </c>
      <c r="AS12" s="3">
        <f t="shared" ref="AS12:AZ12" si="52">AS11*0.24</f>
        <v>319.98898808207997</v>
      </c>
      <c r="AT12" s="3">
        <f t="shared" si="52"/>
        <v>319.85288900194075</v>
      </c>
      <c r="AU12" s="3">
        <f t="shared" si="52"/>
        <v>323.05141789196028</v>
      </c>
      <c r="AV12" s="3">
        <f t="shared" si="52"/>
        <v>326.28193207087975</v>
      </c>
      <c r="AW12" s="3">
        <f t="shared" si="52"/>
        <v>329.54475139158859</v>
      </c>
      <c r="AX12" s="3">
        <f t="shared" si="52"/>
        <v>332.84019890550439</v>
      </c>
      <c r="AY12" s="3">
        <f t="shared" si="52"/>
        <v>336.16860089455946</v>
      </c>
      <c r="AZ12" s="3">
        <f t="shared" si="52"/>
        <v>339.53028690350493</v>
      </c>
    </row>
    <row r="13" spans="2:160" x14ac:dyDescent="0.3">
      <c r="B13" t="s">
        <v>38</v>
      </c>
      <c r="C13" s="3">
        <v>0</v>
      </c>
      <c r="D13" s="3">
        <v>3.3</v>
      </c>
      <c r="E13" s="3">
        <v>0</v>
      </c>
      <c r="F13" s="3">
        <v>4.5</v>
      </c>
      <c r="G13" s="3">
        <v>2</v>
      </c>
      <c r="H13" s="3">
        <v>0</v>
      </c>
      <c r="I13" s="3">
        <v>0</v>
      </c>
      <c r="J13" s="3">
        <v>0</v>
      </c>
      <c r="K13" s="3">
        <v>0</v>
      </c>
      <c r="L13" s="3">
        <v>0.2</v>
      </c>
      <c r="M13" s="3">
        <v>0.2</v>
      </c>
      <c r="N13" s="3">
        <v>0.2</v>
      </c>
      <c r="O13" s="3">
        <v>0</v>
      </c>
      <c r="P13" s="3">
        <v>0.2</v>
      </c>
      <c r="Q13" s="3">
        <v>0.1</v>
      </c>
      <c r="R13" s="3">
        <v>0.1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J13" s="3">
        <f>SUM(C13:F13)</f>
        <v>7.8</v>
      </c>
      <c r="AK13" s="3">
        <f>SUM(G13:J13)</f>
        <v>2</v>
      </c>
      <c r="AL13" s="3">
        <f>SUM(K13:N13)</f>
        <v>0.60000000000000009</v>
      </c>
      <c r="AM13" s="3">
        <f>SUM(O13:R13)</f>
        <v>0.4</v>
      </c>
      <c r="AN13" s="3">
        <f>SUM(S13:V13)</f>
        <v>0</v>
      </c>
      <c r="AO13" s="3">
        <f>SUM(W13:Z13)</f>
        <v>0</v>
      </c>
      <c r="AP13" s="3">
        <f>SUM(AA13:AD13)</f>
        <v>0</v>
      </c>
      <c r="AQ13" s="3">
        <f>SUM(AE13:AH13)</f>
        <v>0</v>
      </c>
      <c r="AR13" s="3">
        <v>0</v>
      </c>
      <c r="AS13" s="3">
        <v>0</v>
      </c>
      <c r="AT13" s="3">
        <v>0</v>
      </c>
      <c r="AU13" s="3">
        <v>0</v>
      </c>
      <c r="AV13" s="3">
        <v>0</v>
      </c>
      <c r="AW13" s="3">
        <v>0</v>
      </c>
      <c r="AX13" s="3">
        <v>0</v>
      </c>
      <c r="AY13" s="3">
        <v>0</v>
      </c>
      <c r="AZ13" s="3">
        <v>0</v>
      </c>
    </row>
    <row r="14" spans="2:160" s="1" customFormat="1" x14ac:dyDescent="0.3">
      <c r="B14" s="1" t="s">
        <v>37</v>
      </c>
      <c r="C14" s="7">
        <f t="shared" ref="C14:P14" si="53">C11-C12-C13</f>
        <v>-1.4999999999999885</v>
      </c>
      <c r="D14" s="7">
        <f t="shared" si="53"/>
        <v>0.69999999999999973</v>
      </c>
      <c r="E14" s="7">
        <f t="shared" si="53"/>
        <v>-0.60000000000000853</v>
      </c>
      <c r="F14" s="7">
        <f t="shared" si="53"/>
        <v>1.9999999999999982</v>
      </c>
      <c r="G14" s="7">
        <f t="shared" si="53"/>
        <v>0.3000000000000087</v>
      </c>
      <c r="H14" s="7">
        <f t="shared" si="53"/>
        <v>5.5000000000000027</v>
      </c>
      <c r="I14" s="7">
        <f t="shared" si="53"/>
        <v>2.2999999999999883</v>
      </c>
      <c r="J14" s="7">
        <f t="shared" si="53"/>
        <v>15.400000000000016</v>
      </c>
      <c r="K14" s="7">
        <f t="shared" si="53"/>
        <v>27.099999999999998</v>
      </c>
      <c r="L14" s="7">
        <f t="shared" si="53"/>
        <v>185.80000000000004</v>
      </c>
      <c r="M14" s="7">
        <f t="shared" si="53"/>
        <v>198.5</v>
      </c>
      <c r="N14" s="7">
        <f t="shared" si="53"/>
        <v>260.40000000000009</v>
      </c>
      <c r="O14" s="7">
        <f t="shared" si="53"/>
        <v>227.4</v>
      </c>
      <c r="P14" s="7">
        <f t="shared" si="53"/>
        <v>316.90000000000015</v>
      </c>
      <c r="Q14" s="7">
        <f t="shared" ref="Q14" si="54">Q11-Q12-Q13</f>
        <v>340.29999999999995</v>
      </c>
      <c r="R14" s="7">
        <f t="shared" ref="R14" si="55">R11-R12-R13</f>
        <v>490.70000000000016</v>
      </c>
      <c r="S14" s="7">
        <f t="shared" ref="S14:T14" si="56">S11-S12-S13</f>
        <v>113.70000000000002</v>
      </c>
      <c r="T14" s="7">
        <f t="shared" si="56"/>
        <v>45.799999999999947</v>
      </c>
      <c r="U14" s="7">
        <f t="shared" ref="U14" si="57">U11-U12-U13</f>
        <v>48.400000000000084</v>
      </c>
      <c r="V14" s="7">
        <f t="shared" ref="V14" si="58">V11-V12-V13</f>
        <v>-104.20000000000012</v>
      </c>
      <c r="W14" s="7">
        <f t="shared" ref="W14:X14" si="59">W11-W12-W13</f>
        <v>15.500000000000039</v>
      </c>
      <c r="X14" s="7">
        <f t="shared" si="59"/>
        <v>181.99999999999997</v>
      </c>
      <c r="Y14" s="7">
        <f t="shared" ref="Y14" si="60">Y11-Y12-Y13</f>
        <v>141.20000000000013</v>
      </c>
      <c r="Z14" s="7">
        <f t="shared" ref="Z14" si="61">Z11-Z12-Z13</f>
        <v>298.8</v>
      </c>
      <c r="AA14" s="7">
        <f t="shared" ref="AA14:AD14" si="62">AA11-AA12-AA13</f>
        <v>216.30000000000007</v>
      </c>
      <c r="AB14" s="7">
        <f t="shared" si="62"/>
        <v>218.89999999999989</v>
      </c>
      <c r="AC14" s="7">
        <f t="shared" si="62"/>
        <v>206.90000000000006</v>
      </c>
      <c r="AD14" s="7">
        <f t="shared" si="62"/>
        <v>367.79999999999995</v>
      </c>
      <c r="AE14" s="7">
        <f t="shared" ref="AE14:AH14" si="63">AE11-AE12-AE13</f>
        <v>237.31992000000002</v>
      </c>
      <c r="AF14" s="7">
        <f t="shared" si="63"/>
        <v>251.32687500000003</v>
      </c>
      <c r="AG14" s="7">
        <f t="shared" si="63"/>
        <v>230.30474999999996</v>
      </c>
      <c r="AH14" s="7">
        <f t="shared" si="63"/>
        <v>265.18537600000002</v>
      </c>
      <c r="AJ14" s="7">
        <f>AJ11-AJ12-AJ13</f>
        <v>0.59999999999999343</v>
      </c>
      <c r="AK14" s="7">
        <f>AK11-AK12-AK13</f>
        <v>23.499999999999982</v>
      </c>
      <c r="AL14" s="7">
        <f>AL11-AL12-AL13</f>
        <v>671.80000000000007</v>
      </c>
      <c r="AM14" s="7">
        <f>AM11-AM12-AM13</f>
        <v>1375.2999999999995</v>
      </c>
      <c r="AN14" s="7">
        <f>AN11-AN12-AN13</f>
        <v>103.70000000000022</v>
      </c>
      <c r="AO14" s="7">
        <f t="shared" ref="AO14:AW14" si="64">AO11-AO12-AO13</f>
        <v>637.50000000000011</v>
      </c>
      <c r="AP14" s="7">
        <f t="shared" si="64"/>
        <v>1009.8999999999994</v>
      </c>
      <c r="AQ14" s="7">
        <f t="shared" si="64"/>
        <v>984.13692099999992</v>
      </c>
      <c r="AR14" s="7">
        <f t="shared" si="64"/>
        <v>1020.4692323920002</v>
      </c>
      <c r="AS14" s="7">
        <f t="shared" si="64"/>
        <v>1013.2984622599199</v>
      </c>
      <c r="AT14" s="7">
        <f t="shared" si="64"/>
        <v>1012.8674818394792</v>
      </c>
      <c r="AU14" s="7">
        <f t="shared" si="64"/>
        <v>1022.9961566578743</v>
      </c>
      <c r="AV14" s="7">
        <f t="shared" si="64"/>
        <v>1033.2261182244526</v>
      </c>
      <c r="AW14" s="7">
        <f t="shared" si="64"/>
        <v>1043.5583794066972</v>
      </c>
      <c r="AX14" s="7">
        <f t="shared" ref="AX14:AZ14" si="65">AX11-AX12-AX13</f>
        <v>1053.993963200764</v>
      </c>
      <c r="AY14" s="7">
        <f t="shared" si="65"/>
        <v>1064.5339028327717</v>
      </c>
      <c r="AZ14" s="7">
        <f t="shared" si="65"/>
        <v>1075.1792418610989</v>
      </c>
      <c r="BA14" s="1">
        <f>AZ14*(1+$BC$20)</f>
        <v>1064.4274494424878</v>
      </c>
      <c r="BB14" s="1">
        <f t="shared" ref="BB14:DM14" si="66">BA14*(1+$BC$20)</f>
        <v>1053.7831749480629</v>
      </c>
      <c r="BC14" s="1">
        <f t="shared" si="66"/>
        <v>1043.2453431985823</v>
      </c>
      <c r="BD14" s="1">
        <f t="shared" si="66"/>
        <v>1032.8128897665965</v>
      </c>
      <c r="BE14" s="1">
        <f t="shared" si="66"/>
        <v>1022.4847608689306</v>
      </c>
      <c r="BF14" s="1">
        <f t="shared" si="66"/>
        <v>1012.2599132602413</v>
      </c>
      <c r="BG14" s="1">
        <f t="shared" si="66"/>
        <v>1002.1373141276389</v>
      </c>
      <c r="BH14" s="1">
        <f t="shared" si="66"/>
        <v>992.11594098636249</v>
      </c>
      <c r="BI14" s="1">
        <f t="shared" si="66"/>
        <v>982.19478157649883</v>
      </c>
      <c r="BJ14" s="1">
        <f t="shared" si="66"/>
        <v>972.37283376073378</v>
      </c>
      <c r="BK14" s="1">
        <f t="shared" si="66"/>
        <v>962.64910542312646</v>
      </c>
      <c r="BL14" s="1">
        <f t="shared" si="66"/>
        <v>953.02261436889523</v>
      </c>
      <c r="BM14" s="1">
        <f t="shared" si="66"/>
        <v>943.49238822520624</v>
      </c>
      <c r="BN14" s="1">
        <f t="shared" si="66"/>
        <v>934.05746434295418</v>
      </c>
      <c r="BO14" s="1">
        <f t="shared" si="66"/>
        <v>924.71688969952459</v>
      </c>
      <c r="BP14" s="1">
        <f t="shared" si="66"/>
        <v>915.46972080252931</v>
      </c>
      <c r="BQ14" s="1">
        <f t="shared" si="66"/>
        <v>906.31502359450405</v>
      </c>
      <c r="BR14" s="1">
        <f t="shared" si="66"/>
        <v>897.25187335855901</v>
      </c>
      <c r="BS14" s="1">
        <f t="shared" si="66"/>
        <v>888.27935462497339</v>
      </c>
      <c r="BT14" s="1">
        <f t="shared" si="66"/>
        <v>879.39656107872361</v>
      </c>
      <c r="BU14" s="1">
        <f t="shared" si="66"/>
        <v>870.60259546793634</v>
      </c>
      <c r="BV14" s="1">
        <f t="shared" si="66"/>
        <v>861.89656951325696</v>
      </c>
      <c r="BW14" s="1">
        <f t="shared" si="66"/>
        <v>853.27760381812436</v>
      </c>
      <c r="BX14" s="1">
        <f t="shared" si="66"/>
        <v>844.74482777994308</v>
      </c>
      <c r="BY14" s="1">
        <f t="shared" si="66"/>
        <v>836.2973795021436</v>
      </c>
      <c r="BZ14" s="1">
        <f t="shared" si="66"/>
        <v>827.93440570712221</v>
      </c>
      <c r="CA14" s="1">
        <f t="shared" si="66"/>
        <v>819.65506165005092</v>
      </c>
      <c r="CB14" s="1">
        <f t="shared" si="66"/>
        <v>811.45851103355039</v>
      </c>
      <c r="CC14" s="1">
        <f t="shared" si="66"/>
        <v>803.3439259232149</v>
      </c>
      <c r="CD14" s="1">
        <f t="shared" si="66"/>
        <v>795.31048666398272</v>
      </c>
      <c r="CE14" s="1">
        <f t="shared" si="66"/>
        <v>787.3573817973429</v>
      </c>
      <c r="CF14" s="1">
        <f t="shared" si="66"/>
        <v>779.48380797936943</v>
      </c>
      <c r="CG14" s="1">
        <f t="shared" si="66"/>
        <v>771.68896989957568</v>
      </c>
      <c r="CH14" s="1">
        <f t="shared" si="66"/>
        <v>763.97208020057997</v>
      </c>
      <c r="CI14" s="1">
        <f t="shared" si="66"/>
        <v>756.33235939857411</v>
      </c>
      <c r="CJ14" s="1">
        <f t="shared" si="66"/>
        <v>748.76903580458838</v>
      </c>
      <c r="CK14" s="1">
        <f t="shared" si="66"/>
        <v>741.28134544654245</v>
      </c>
      <c r="CL14" s="1">
        <f t="shared" si="66"/>
        <v>733.86853199207701</v>
      </c>
      <c r="CM14" s="1">
        <f t="shared" si="66"/>
        <v>726.52984667215628</v>
      </c>
      <c r="CN14" s="1">
        <f t="shared" si="66"/>
        <v>719.26454820543472</v>
      </c>
      <c r="CO14" s="1">
        <f t="shared" si="66"/>
        <v>712.07190272338039</v>
      </c>
      <c r="CP14" s="1">
        <f t="shared" si="66"/>
        <v>704.95118369614659</v>
      </c>
      <c r="CQ14" s="1">
        <f t="shared" si="66"/>
        <v>697.90167185918506</v>
      </c>
      <c r="CR14" s="1">
        <f t="shared" si="66"/>
        <v>690.92265514059318</v>
      </c>
      <c r="CS14" s="1">
        <f t="shared" si="66"/>
        <v>684.01342858918724</v>
      </c>
      <c r="CT14" s="1">
        <f t="shared" si="66"/>
        <v>677.17329430329539</v>
      </c>
      <c r="CU14" s="1">
        <f t="shared" si="66"/>
        <v>670.40156136026246</v>
      </c>
      <c r="CV14" s="1">
        <f t="shared" si="66"/>
        <v>663.69754574665978</v>
      </c>
      <c r="CW14" s="1">
        <f t="shared" si="66"/>
        <v>657.06057028919315</v>
      </c>
      <c r="CX14" s="1">
        <f t="shared" si="66"/>
        <v>650.4899645863012</v>
      </c>
      <c r="CY14" s="1">
        <f t="shared" si="66"/>
        <v>643.98506494043818</v>
      </c>
      <c r="CZ14" s="1">
        <f t="shared" si="66"/>
        <v>637.54521429103374</v>
      </c>
      <c r="DA14" s="1">
        <f t="shared" si="66"/>
        <v>631.16976214812337</v>
      </c>
      <c r="DB14" s="1">
        <f t="shared" si="66"/>
        <v>624.85806452664212</v>
      </c>
      <c r="DC14" s="1">
        <f t="shared" si="66"/>
        <v>618.6094838813757</v>
      </c>
      <c r="DD14" s="1">
        <f t="shared" si="66"/>
        <v>612.42338904256189</v>
      </c>
      <c r="DE14" s="1">
        <f t="shared" si="66"/>
        <v>606.29915515213622</v>
      </c>
      <c r="DF14" s="1">
        <f t="shared" si="66"/>
        <v>600.23616360061487</v>
      </c>
      <c r="DG14" s="1">
        <f t="shared" si="66"/>
        <v>594.23380196460869</v>
      </c>
      <c r="DH14" s="1">
        <f t="shared" si="66"/>
        <v>588.29146394496263</v>
      </c>
      <c r="DI14" s="1">
        <f t="shared" si="66"/>
        <v>582.40854930551302</v>
      </c>
      <c r="DJ14" s="1">
        <f t="shared" si="66"/>
        <v>576.5844638124579</v>
      </c>
      <c r="DK14" s="1">
        <f t="shared" si="66"/>
        <v>570.81861917433332</v>
      </c>
      <c r="DL14" s="1">
        <f t="shared" si="66"/>
        <v>565.11043298258994</v>
      </c>
      <c r="DM14" s="1">
        <f t="shared" si="66"/>
        <v>559.45932865276404</v>
      </c>
      <c r="DN14" s="1">
        <f t="shared" ref="DN14:FD14" si="67">DM14*(1+$BC$20)</f>
        <v>553.86473536623635</v>
      </c>
      <c r="DO14" s="1">
        <f t="shared" si="67"/>
        <v>548.32608801257402</v>
      </c>
      <c r="DP14" s="1">
        <f t="shared" si="67"/>
        <v>542.84282713244829</v>
      </c>
      <c r="DQ14" s="1">
        <f t="shared" si="67"/>
        <v>537.4143988611238</v>
      </c>
      <c r="DR14" s="1">
        <f t="shared" si="67"/>
        <v>532.04025487251261</v>
      </c>
      <c r="DS14" s="1">
        <f t="shared" si="67"/>
        <v>526.71985232378745</v>
      </c>
      <c r="DT14" s="1">
        <f t="shared" si="67"/>
        <v>521.45265380054957</v>
      </c>
      <c r="DU14" s="1">
        <f t="shared" si="67"/>
        <v>516.23812726254403</v>
      </c>
      <c r="DV14" s="1">
        <f t="shared" si="67"/>
        <v>511.07574598991857</v>
      </c>
      <c r="DW14" s="1">
        <f t="shared" si="67"/>
        <v>505.96498853001935</v>
      </c>
      <c r="DX14" s="1">
        <f t="shared" si="67"/>
        <v>500.90533864471917</v>
      </c>
      <c r="DY14" s="1">
        <f t="shared" si="67"/>
        <v>495.89628525827197</v>
      </c>
      <c r="DZ14" s="1">
        <f t="shared" si="67"/>
        <v>490.93732240568926</v>
      </c>
      <c r="EA14" s="1">
        <f t="shared" si="67"/>
        <v>486.02794918163238</v>
      </c>
      <c r="EB14" s="1">
        <f t="shared" si="67"/>
        <v>481.16766968981608</v>
      </c>
      <c r="EC14" s="1">
        <f t="shared" si="67"/>
        <v>476.35599299291789</v>
      </c>
      <c r="ED14" s="1">
        <f t="shared" si="67"/>
        <v>471.59243306298873</v>
      </c>
      <c r="EE14" s="1">
        <f t="shared" si="67"/>
        <v>466.87650873235884</v>
      </c>
      <c r="EF14" s="1">
        <f t="shared" si="67"/>
        <v>462.20774364503524</v>
      </c>
      <c r="EG14" s="1">
        <f t="shared" si="67"/>
        <v>457.58566620858488</v>
      </c>
      <c r="EH14" s="1">
        <f t="shared" si="67"/>
        <v>453.00980954649901</v>
      </c>
      <c r="EI14" s="1">
        <f t="shared" si="67"/>
        <v>448.47971145103401</v>
      </c>
      <c r="EJ14" s="1">
        <f t="shared" si="67"/>
        <v>443.99491433652366</v>
      </c>
      <c r="EK14" s="1">
        <f t="shared" si="67"/>
        <v>439.55496519315841</v>
      </c>
      <c r="EL14" s="1">
        <f t="shared" si="67"/>
        <v>435.15941554122685</v>
      </c>
      <c r="EM14" s="1">
        <f t="shared" si="67"/>
        <v>430.80782138581458</v>
      </c>
      <c r="EN14" s="1">
        <f t="shared" si="67"/>
        <v>426.49974317195642</v>
      </c>
      <c r="EO14" s="1">
        <f t="shared" si="67"/>
        <v>422.23474574023686</v>
      </c>
      <c r="EP14" s="1">
        <f t="shared" si="67"/>
        <v>418.01239828283451</v>
      </c>
      <c r="EQ14" s="1">
        <f t="shared" si="67"/>
        <v>413.83227430000613</v>
      </c>
      <c r="ER14" s="1">
        <f t="shared" si="67"/>
        <v>409.69395155700607</v>
      </c>
      <c r="ES14" s="1">
        <f t="shared" si="67"/>
        <v>405.59701204143602</v>
      </c>
      <c r="ET14" s="1">
        <f t="shared" si="67"/>
        <v>401.54104192102164</v>
      </c>
      <c r="EU14" s="1">
        <f t="shared" si="67"/>
        <v>397.5256315018114</v>
      </c>
      <c r="EV14" s="1">
        <f t="shared" si="67"/>
        <v>393.5503751867933</v>
      </c>
      <c r="EW14" s="1">
        <f t="shared" si="67"/>
        <v>389.61487143492536</v>
      </c>
      <c r="EX14" s="1">
        <f t="shared" si="67"/>
        <v>385.71872272057612</v>
      </c>
      <c r="EY14" s="1">
        <f t="shared" si="67"/>
        <v>381.86153549337035</v>
      </c>
      <c r="EZ14" s="1">
        <f t="shared" si="67"/>
        <v>378.04292013843667</v>
      </c>
      <c r="FA14" s="1">
        <f t="shared" si="67"/>
        <v>374.26249093705229</v>
      </c>
      <c r="FB14" s="1">
        <f t="shared" si="67"/>
        <v>370.51986602768176</v>
      </c>
      <c r="FC14" s="1">
        <f t="shared" si="67"/>
        <v>366.81466736740492</v>
      </c>
      <c r="FD14" s="1">
        <f t="shared" si="67"/>
        <v>363.14652069373085</v>
      </c>
    </row>
    <row r="15" spans="2:160" x14ac:dyDescent="0.3">
      <c r="B15" t="s">
        <v>2</v>
      </c>
      <c r="C15" s="3">
        <v>287.60000000000002</v>
      </c>
      <c r="D15" s="3">
        <v>287.60000000000002</v>
      </c>
      <c r="E15" s="3">
        <v>287.60000000000002</v>
      </c>
      <c r="F15" s="3">
        <v>287.60000000000002</v>
      </c>
      <c r="G15" s="3">
        <v>287.60000000000002</v>
      </c>
      <c r="H15" s="3">
        <v>287.60000000000002</v>
      </c>
      <c r="I15" s="3">
        <v>287.60000000000002</v>
      </c>
      <c r="J15" s="3">
        <v>287.60000000000002</v>
      </c>
      <c r="K15" s="3">
        <v>287.60000000000002</v>
      </c>
      <c r="L15" s="3">
        <v>287.60000000000002</v>
      </c>
      <c r="M15" s="3">
        <v>287.60000000000002</v>
      </c>
      <c r="N15" s="3">
        <v>287.60000000000002</v>
      </c>
      <c r="O15" s="3">
        <f t="shared" ref="O15:AA15" si="68">263.6+45.7</f>
        <v>309.3</v>
      </c>
      <c r="P15" s="3">
        <f t="shared" si="68"/>
        <v>309.3</v>
      </c>
      <c r="Q15" s="3">
        <f t="shared" si="68"/>
        <v>309.3</v>
      </c>
      <c r="R15" s="3">
        <f t="shared" si="68"/>
        <v>309.3</v>
      </c>
      <c r="S15" s="3">
        <f t="shared" si="68"/>
        <v>309.3</v>
      </c>
      <c r="T15" s="3">
        <f t="shared" si="68"/>
        <v>309.3</v>
      </c>
      <c r="U15" s="3">
        <f t="shared" si="68"/>
        <v>309.3</v>
      </c>
      <c r="V15" s="3">
        <f t="shared" si="68"/>
        <v>309.3</v>
      </c>
      <c r="W15" s="3">
        <f t="shared" si="68"/>
        <v>309.3</v>
      </c>
      <c r="X15" s="3">
        <f t="shared" si="68"/>
        <v>309.3</v>
      </c>
      <c r="Y15" s="3">
        <f t="shared" si="68"/>
        <v>309.3</v>
      </c>
      <c r="Z15" s="3">
        <f t="shared" si="68"/>
        <v>309.3</v>
      </c>
      <c r="AA15" s="3">
        <f t="shared" si="68"/>
        <v>309.3</v>
      </c>
      <c r="AB15" s="3">
        <f>262.1+45.7</f>
        <v>307.8</v>
      </c>
      <c r="AC15" s="3">
        <v>307.5</v>
      </c>
      <c r="AD15" s="3">
        <f>306.6</f>
        <v>306.60000000000002</v>
      </c>
      <c r="AE15" s="3">
        <f t="shared" ref="AE15:AH15" si="69">306.6</f>
        <v>306.60000000000002</v>
      </c>
      <c r="AF15" s="3">
        <f t="shared" si="69"/>
        <v>306.60000000000002</v>
      </c>
      <c r="AG15" s="3">
        <f t="shared" si="69"/>
        <v>306.60000000000002</v>
      </c>
      <c r="AH15" s="3">
        <f t="shared" si="69"/>
        <v>306.60000000000002</v>
      </c>
      <c r="AJ15" s="3">
        <v>287.60000000000002</v>
      </c>
      <c r="AK15" s="3">
        <v>287.60000000000002</v>
      </c>
      <c r="AL15" s="3">
        <v>287.60000000000002</v>
      </c>
      <c r="AM15" s="3">
        <v>287.60000000000002</v>
      </c>
      <c r="AN15" s="3">
        <v>287.60000000000002</v>
      </c>
      <c r="AO15" s="3">
        <f t="shared" ref="AO15" si="70">263.6+45.7</f>
        <v>309.3</v>
      </c>
      <c r="AP15" s="3">
        <f>306.6</f>
        <v>306.60000000000002</v>
      </c>
      <c r="AQ15" s="3">
        <f>306.6</f>
        <v>306.60000000000002</v>
      </c>
      <c r="AR15" s="3">
        <f t="shared" ref="AR15:AZ15" si="71">306.6</f>
        <v>306.60000000000002</v>
      </c>
      <c r="AS15" s="3">
        <f t="shared" si="71"/>
        <v>306.60000000000002</v>
      </c>
      <c r="AT15" s="3">
        <f t="shared" si="71"/>
        <v>306.60000000000002</v>
      </c>
      <c r="AU15" s="3">
        <f t="shared" si="71"/>
        <v>306.60000000000002</v>
      </c>
      <c r="AV15" s="3">
        <f t="shared" si="71"/>
        <v>306.60000000000002</v>
      </c>
      <c r="AW15" s="3">
        <f t="shared" si="71"/>
        <v>306.60000000000002</v>
      </c>
      <c r="AX15" s="3">
        <f t="shared" si="71"/>
        <v>306.60000000000002</v>
      </c>
      <c r="AY15" s="3">
        <f t="shared" si="71"/>
        <v>306.60000000000002</v>
      </c>
      <c r="AZ15" s="3">
        <f t="shared" si="71"/>
        <v>306.60000000000002</v>
      </c>
    </row>
    <row r="16" spans="2:160" s="1" customFormat="1" x14ac:dyDescent="0.3">
      <c r="B16" s="1" t="s">
        <v>39</v>
      </c>
      <c r="C16" s="8">
        <f t="shared" ref="C16:P16" si="72">C14/C15</f>
        <v>-5.2155771905423795E-3</v>
      </c>
      <c r="D16" s="8">
        <f t="shared" si="72"/>
        <v>2.4339360222531284E-3</v>
      </c>
      <c r="E16" s="8">
        <f t="shared" si="72"/>
        <v>-2.0862308762169975E-3</v>
      </c>
      <c r="F16" s="8">
        <f t="shared" si="72"/>
        <v>6.9541029207232201E-3</v>
      </c>
      <c r="G16" s="8">
        <f t="shared" si="72"/>
        <v>1.0431154381085142E-3</v>
      </c>
      <c r="H16" s="8">
        <f t="shared" si="72"/>
        <v>1.9123783031988882E-2</v>
      </c>
      <c r="I16" s="8">
        <f t="shared" si="72"/>
        <v>7.9972183588316696E-3</v>
      </c>
      <c r="J16" s="8">
        <f t="shared" si="72"/>
        <v>5.3546592489568896E-2</v>
      </c>
      <c r="K16" s="8">
        <f t="shared" si="72"/>
        <v>9.4228094575799712E-2</v>
      </c>
      <c r="L16" s="8">
        <f t="shared" si="72"/>
        <v>0.64603616133518782</v>
      </c>
      <c r="M16" s="8">
        <f t="shared" si="72"/>
        <v>0.69019471488178019</v>
      </c>
      <c r="N16" s="8">
        <f t="shared" si="72"/>
        <v>0.90542420027816439</v>
      </c>
      <c r="O16" s="8">
        <f t="shared" si="72"/>
        <v>0.73520853540252185</v>
      </c>
      <c r="P16" s="8">
        <f t="shared" si="72"/>
        <v>1.0245716133204013</v>
      </c>
      <c r="Q16" s="8">
        <f t="shared" ref="Q16" si="73">Q14/Q15</f>
        <v>1.1002263174911087</v>
      </c>
      <c r="R16" s="8">
        <f t="shared" ref="R16" si="74">R14/R15</f>
        <v>1.5864856126737799</v>
      </c>
      <c r="S16" s="8">
        <f t="shared" ref="S16:T16" si="75">S14/S15</f>
        <v>0.36760426770126098</v>
      </c>
      <c r="T16" s="8">
        <f t="shared" si="75"/>
        <v>0.1480763013255737</v>
      </c>
      <c r="U16" s="8">
        <f t="shared" ref="U16" si="76">U14/U15</f>
        <v>0.15648237956676392</v>
      </c>
      <c r="V16" s="8">
        <f t="shared" ref="V16" si="77">V14/V15</f>
        <v>-0.33688975105076013</v>
      </c>
      <c r="W16" s="8">
        <f t="shared" ref="W16:X16" si="78">W14/W15</f>
        <v>5.0113158745554602E-2</v>
      </c>
      <c r="X16" s="8">
        <f t="shared" si="78"/>
        <v>0.58842547688328473</v>
      </c>
      <c r="Y16" s="8">
        <f t="shared" ref="Y16" si="79">Y14/Y15</f>
        <v>0.4565147106369225</v>
      </c>
      <c r="Z16" s="8">
        <f t="shared" ref="Z16" si="80">Z14/Z15</f>
        <v>0.96605237633365659</v>
      </c>
      <c r="AA16" s="8">
        <f t="shared" ref="AA16:AD16" si="81">AA14/AA15</f>
        <v>0.69932104752667335</v>
      </c>
      <c r="AB16" s="8">
        <f t="shared" si="81"/>
        <v>0.71117608836907042</v>
      </c>
      <c r="AC16" s="8">
        <f t="shared" si="81"/>
        <v>0.67284552845528478</v>
      </c>
      <c r="AD16" s="8">
        <f t="shared" si="81"/>
        <v>1.1996086105675143</v>
      </c>
      <c r="AE16" s="8">
        <f t="shared" ref="AE16:AH16" si="82">AE14/AE15</f>
        <v>0.7740375733855186</v>
      </c>
      <c r="AF16" s="8">
        <f t="shared" si="82"/>
        <v>0.81972235812133076</v>
      </c>
      <c r="AG16" s="8">
        <f t="shared" si="82"/>
        <v>0.75115704500978453</v>
      </c>
      <c r="AH16" s="8">
        <f t="shared" si="82"/>
        <v>0.86492294846705808</v>
      </c>
      <c r="AJ16" s="8">
        <f>AJ14/AJ15</f>
        <v>2.086230876216945E-3</v>
      </c>
      <c r="AK16" s="8">
        <f>AK14/AK15</f>
        <v>8.1710709318497846E-2</v>
      </c>
      <c r="AL16" s="8">
        <f>AL14/AL15</f>
        <v>2.335883171070932</v>
      </c>
      <c r="AM16" s="8">
        <f>AM14/AM15</f>
        <v>4.7819888734353251</v>
      </c>
      <c r="AN16" s="8">
        <f>AN14/AN15</f>
        <v>0.36057023643950004</v>
      </c>
      <c r="AO16" s="8">
        <f t="shared" ref="AO16:AW16" si="83">AO14/AO15</f>
        <v>2.0611057225994185</v>
      </c>
      <c r="AP16" s="8">
        <f t="shared" si="83"/>
        <v>3.2938682322243946</v>
      </c>
      <c r="AQ16" s="8">
        <f t="shared" si="83"/>
        <v>3.2098399249836915</v>
      </c>
      <c r="AR16" s="8">
        <f t="shared" si="83"/>
        <v>3.3283406144553167</v>
      </c>
      <c r="AS16" s="8">
        <f t="shared" si="83"/>
        <v>3.3049525840180034</v>
      </c>
      <c r="AT16" s="8">
        <f t="shared" si="83"/>
        <v>3.303546907499932</v>
      </c>
      <c r="AU16" s="8">
        <f t="shared" si="83"/>
        <v>3.3365823765749321</v>
      </c>
      <c r="AV16" s="8">
        <f t="shared" si="83"/>
        <v>3.3699482003406804</v>
      </c>
      <c r="AW16" s="8">
        <f t="shared" si="83"/>
        <v>3.4036476823440873</v>
      </c>
      <c r="AX16" s="8">
        <f t="shared" ref="AX16:AZ16" si="84">AX14/AX15</f>
        <v>3.4376841591675276</v>
      </c>
      <c r="AY16" s="8">
        <f t="shared" si="84"/>
        <v>3.472061000759203</v>
      </c>
      <c r="AZ16" s="8">
        <f t="shared" si="84"/>
        <v>3.5067816107667933</v>
      </c>
    </row>
    <row r="18" spans="2:55" x14ac:dyDescent="0.3">
      <c r="B18" s="1" t="s">
        <v>40</v>
      </c>
      <c r="C18" s="9"/>
      <c r="D18" s="9"/>
      <c r="E18" s="9"/>
      <c r="F18" s="9"/>
      <c r="G18" s="9">
        <f>G3/C3-1</f>
        <v>1.0299500831946755</v>
      </c>
      <c r="H18" s="9">
        <f t="shared" ref="H18:R18" si="85">H3/D3-1</f>
        <v>0.95704697986577192</v>
      </c>
      <c r="I18" s="9">
        <f t="shared" si="85"/>
        <v>0.84905660377358494</v>
      </c>
      <c r="J18" s="9">
        <f t="shared" si="85"/>
        <v>0.77977315689981119</v>
      </c>
      <c r="K18" s="9">
        <f t="shared" si="85"/>
        <v>1.6901639344262294</v>
      </c>
      <c r="L18" s="9">
        <f t="shared" si="85"/>
        <v>3.5507544581618653</v>
      </c>
      <c r="M18" s="9">
        <f t="shared" si="85"/>
        <v>3.6650660264105648</v>
      </c>
      <c r="N18" s="9">
        <f t="shared" si="85"/>
        <v>3.6866702071163031</v>
      </c>
      <c r="O18" s="9">
        <f t="shared" si="85"/>
        <v>1.913467397928093</v>
      </c>
      <c r="P18" s="9">
        <f t="shared" si="85"/>
        <v>0.53956292388847027</v>
      </c>
      <c r="Q18" s="9">
        <f t="shared" si="85"/>
        <v>0.35203293875450314</v>
      </c>
      <c r="R18" s="9">
        <f t="shared" si="85"/>
        <v>0.2140509915014166</v>
      </c>
      <c r="S18" s="9">
        <f t="shared" ref="S18" si="86">S3/O3-1</f>
        <v>0.12298682284040985</v>
      </c>
      <c r="T18" s="9">
        <f t="shared" ref="T18" si="87">T3/P3-1</f>
        <v>7.6358296622613731E-2</v>
      </c>
      <c r="U18" s="9">
        <f t="shared" ref="U18" si="88">U3/Q3-1</f>
        <v>4.8629615531024184E-2</v>
      </c>
      <c r="V18" s="9">
        <f t="shared" ref="V18" si="89">V3/R3-1</f>
        <v>4.3307821541907598E-2</v>
      </c>
      <c r="W18" s="9">
        <f t="shared" ref="W18" si="90">W3/S3-1</f>
        <v>2.942819891972448E-2</v>
      </c>
      <c r="X18" s="9">
        <f t="shared" ref="X18" si="91">X3/T3-1</f>
        <v>3.565256934970451E-2</v>
      </c>
      <c r="Y18" s="9">
        <f t="shared" ref="Y18" si="92">Y3/U3-1</f>
        <v>3.1581813231690736E-2</v>
      </c>
      <c r="Z18" s="9">
        <f t="shared" ref="Z18" si="93">Z3/V3-1</f>
        <v>2.5675433887994314E-2</v>
      </c>
      <c r="AA18" s="9">
        <f t="shared" ref="AA18" si="94">AA3/W3-1</f>
        <v>3.2386466437488659E-2</v>
      </c>
      <c r="AB18" s="9">
        <f t="shared" ref="AB18" si="95">AB3/X3-1</f>
        <v>2.0901027487485679E-2</v>
      </c>
      <c r="AC18" s="9">
        <f t="shared" ref="AC18" si="96">AC3/Y3-1</f>
        <v>3.589337556083394E-2</v>
      </c>
      <c r="AD18" s="9">
        <f t="shared" ref="AD18" si="97">AD3/Z3-1</f>
        <v>3.2795464457043177E-2</v>
      </c>
      <c r="AE18" s="9">
        <f t="shared" ref="AE18" si="98">AE3/AA3-1</f>
        <v>3.0000000000000027E-2</v>
      </c>
      <c r="AF18" s="9">
        <f t="shared" ref="AF18" si="99">AF3/AB3-1</f>
        <v>3.0000000000000027E-2</v>
      </c>
      <c r="AG18" s="9">
        <f t="shared" ref="AG18" si="100">AG3/AC3-1</f>
        <v>2.0000000000000018E-2</v>
      </c>
      <c r="AH18" s="9">
        <f t="shared" ref="AH18" si="101">AH3/AD3-1</f>
        <v>2.0000000000000018E-2</v>
      </c>
      <c r="AJ18" s="9"/>
      <c r="AK18" s="9">
        <f>AK3/AJ3-1</f>
        <v>0.88411497730711064</v>
      </c>
      <c r="AL18" s="9">
        <f t="shared" ref="AL18:AW18" si="102">AL3/AK3-1</f>
        <v>3.2579091055082703</v>
      </c>
      <c r="AM18" s="9">
        <f t="shared" si="102"/>
        <v>0.54631515425812749</v>
      </c>
      <c r="AN18" s="9">
        <f t="shared" si="102"/>
        <v>7.1489548525573987E-2</v>
      </c>
      <c r="AO18" s="9">
        <f t="shared" si="102"/>
        <v>3.0571363532893248E-2</v>
      </c>
      <c r="AP18" s="9">
        <f t="shared" si="102"/>
        <v>3.0481744085878892E-2</v>
      </c>
      <c r="AQ18" s="9">
        <f t="shared" si="102"/>
        <v>2.4937946112790321E-2</v>
      </c>
      <c r="AR18" s="9">
        <f t="shared" si="102"/>
        <v>2.0000000000000018E-2</v>
      </c>
      <c r="AS18" s="9">
        <f t="shared" si="102"/>
        <v>1.0000000000000009E-2</v>
      </c>
      <c r="AT18" s="9">
        <f t="shared" si="102"/>
        <v>1.0000000000000009E-2</v>
      </c>
      <c r="AU18" s="9">
        <f t="shared" si="102"/>
        <v>1.0000000000000009E-2</v>
      </c>
      <c r="AV18" s="9">
        <f t="shared" si="102"/>
        <v>1.0000000000000009E-2</v>
      </c>
      <c r="AW18" s="9">
        <f t="shared" si="102"/>
        <v>1.0000000000000009E-2</v>
      </c>
      <c r="AX18" s="9">
        <f t="shared" ref="AX18" si="103">AX3/AW3-1</f>
        <v>1.0000000000000009E-2</v>
      </c>
      <c r="AY18" s="9">
        <f t="shared" ref="AY18" si="104">AY3/AX3-1</f>
        <v>1.0000000000000009E-2</v>
      </c>
      <c r="AZ18" s="9">
        <f t="shared" ref="AZ18" si="105">AZ3/AY3-1</f>
        <v>1.0000000000000009E-2</v>
      </c>
    </row>
    <row r="19" spans="2:55" x14ac:dyDescent="0.3">
      <c r="B19" s="1" t="s">
        <v>41</v>
      </c>
      <c r="C19" s="9">
        <f t="shared" ref="C19:F19" si="106">C5/C3</f>
        <v>0.80532445923460905</v>
      </c>
      <c r="D19" s="9">
        <f t="shared" si="106"/>
        <v>0.82550335570469802</v>
      </c>
      <c r="E19" s="9">
        <f t="shared" si="106"/>
        <v>0.81354051054384025</v>
      </c>
      <c r="F19" s="9">
        <f t="shared" si="106"/>
        <v>0.81568998109640833</v>
      </c>
      <c r="G19" s="9">
        <f>G5/G3</f>
        <v>0.80245901639344264</v>
      </c>
      <c r="H19" s="9">
        <f t="shared" ref="H19:R19" si="107">H5/H3</f>
        <v>0.8086419753086419</v>
      </c>
      <c r="I19" s="9">
        <f t="shared" si="107"/>
        <v>0.81512605042016795</v>
      </c>
      <c r="J19" s="9">
        <f t="shared" si="107"/>
        <v>0.82740308019118425</v>
      </c>
      <c r="K19" s="9">
        <f t="shared" si="107"/>
        <v>0.68403412553321152</v>
      </c>
      <c r="L19" s="9">
        <f t="shared" si="107"/>
        <v>0.71017332328560656</v>
      </c>
      <c r="M19" s="9">
        <f t="shared" si="107"/>
        <v>0.66713844570252179</v>
      </c>
      <c r="N19" s="9">
        <f t="shared" si="107"/>
        <v>0.69711048158640232</v>
      </c>
      <c r="O19" s="9">
        <f t="shared" si="107"/>
        <v>0.72286132608240961</v>
      </c>
      <c r="P19" s="9">
        <f t="shared" si="107"/>
        <v>0.74419970631424381</v>
      </c>
      <c r="Q19" s="9">
        <f t="shared" si="107"/>
        <v>0.74210125618576317</v>
      </c>
      <c r="R19" s="9">
        <f t="shared" si="107"/>
        <v>0.75984692925144681</v>
      </c>
      <c r="S19" s="9">
        <f t="shared" ref="S19:AD19" si="108">S5/S3</f>
        <v>0.75619295958279009</v>
      </c>
      <c r="T19" s="9">
        <f t="shared" si="108"/>
        <v>0.75115961800818554</v>
      </c>
      <c r="U19" s="9">
        <f t="shared" si="108"/>
        <v>0.75433342408567017</v>
      </c>
      <c r="V19" s="9">
        <f t="shared" si="108"/>
        <v>0.73662551440329216</v>
      </c>
      <c r="W19" s="9">
        <f t="shared" si="108"/>
        <v>0.76126289126108204</v>
      </c>
      <c r="X19" s="9">
        <f t="shared" si="108"/>
        <v>0.7658733643628699</v>
      </c>
      <c r="Y19" s="9">
        <f t="shared" si="108"/>
        <v>0.76159056919151935</v>
      </c>
      <c r="Z19" s="9">
        <f t="shared" si="108"/>
        <v>0.75900566942869607</v>
      </c>
      <c r="AA19" s="9">
        <f t="shared" si="108"/>
        <v>0.76051524710830709</v>
      </c>
      <c r="AB19" s="9">
        <f t="shared" si="108"/>
        <v>0.754752688172043</v>
      </c>
      <c r="AC19" s="9">
        <f t="shared" si="108"/>
        <v>0.75889596602972398</v>
      </c>
      <c r="AD19" s="9">
        <f t="shared" si="108"/>
        <v>0.75728401317456295</v>
      </c>
      <c r="AE19" s="9">
        <f t="shared" ref="AE19:AH19" si="109">AE5/AE3</f>
        <v>0.76</v>
      </c>
      <c r="AF19" s="9">
        <f t="shared" si="109"/>
        <v>0.76</v>
      </c>
      <c r="AG19" s="9">
        <f t="shared" si="109"/>
        <v>0.76</v>
      </c>
      <c r="AH19" s="9">
        <f t="shared" si="109"/>
        <v>0.76</v>
      </c>
      <c r="AJ19" s="9">
        <f t="shared" ref="AJ19:AW19" si="110">AJ5/AJ3</f>
        <v>0.81543116490166412</v>
      </c>
      <c r="AK19" s="9">
        <f t="shared" si="110"/>
        <v>0.81483860607033887</v>
      </c>
      <c r="AL19" s="9">
        <f t="shared" si="110"/>
        <v>0.68997510749038249</v>
      </c>
      <c r="AM19" s="9">
        <f t="shared" si="110"/>
        <v>0.74277421400521959</v>
      </c>
      <c r="AN19" s="9">
        <f t="shared" si="110"/>
        <v>0.74948782153425908</v>
      </c>
      <c r="AO19" s="9">
        <f t="shared" si="110"/>
        <v>0.76193316104521458</v>
      </c>
      <c r="AP19" s="9">
        <f t="shared" si="110"/>
        <v>0.75785051336462816</v>
      </c>
      <c r="AQ19" s="9">
        <f t="shared" si="110"/>
        <v>0.76</v>
      </c>
      <c r="AR19" s="9">
        <f t="shared" si="110"/>
        <v>0.76</v>
      </c>
      <c r="AS19" s="9">
        <f t="shared" si="110"/>
        <v>0.76</v>
      </c>
      <c r="AT19" s="9">
        <f t="shared" si="110"/>
        <v>0.76</v>
      </c>
      <c r="AU19" s="9">
        <f t="shared" si="110"/>
        <v>0.76</v>
      </c>
      <c r="AV19" s="9">
        <f t="shared" si="110"/>
        <v>0.76</v>
      </c>
      <c r="AW19" s="9">
        <f t="shared" si="110"/>
        <v>0.76</v>
      </c>
      <c r="AX19" s="9">
        <f t="shared" ref="AX19:AZ19" si="111">AX5/AX3</f>
        <v>0.76</v>
      </c>
      <c r="AY19" s="9">
        <f t="shared" si="111"/>
        <v>0.76</v>
      </c>
      <c r="AZ19" s="9">
        <f t="shared" si="111"/>
        <v>0.76</v>
      </c>
    </row>
    <row r="20" spans="2:55" x14ac:dyDescent="0.3">
      <c r="B20" t="s">
        <v>42</v>
      </c>
      <c r="C20" s="9">
        <f t="shared" ref="C20:F20" si="112">C9/C3</f>
        <v>-2.9950083194675344E-2</v>
      </c>
      <c r="D20" s="9">
        <f t="shared" si="112"/>
        <v>4.6979865771812082E-2</v>
      </c>
      <c r="E20" s="9">
        <f t="shared" si="112"/>
        <v>-1.2208657047724846E-2</v>
      </c>
      <c r="F20" s="9">
        <f t="shared" si="112"/>
        <v>5.1984877126654047E-2</v>
      </c>
      <c r="G20" s="9">
        <f>G9/G3</f>
        <v>1.3114754098360725E-2</v>
      </c>
      <c r="H20" s="9">
        <f t="shared" ref="H20:R20" si="113">H9/H3</f>
        <v>1.5089163237311404E-2</v>
      </c>
      <c r="I20" s="9">
        <f t="shared" si="113"/>
        <v>-9.6038415366147181E-3</v>
      </c>
      <c r="J20" s="9">
        <f t="shared" si="113"/>
        <v>5.629314922995228E-2</v>
      </c>
      <c r="K20" s="9">
        <f t="shared" si="113"/>
        <v>7.1297989031078604E-2</v>
      </c>
      <c r="L20" s="9">
        <f t="shared" si="113"/>
        <v>0.28349660889223816</v>
      </c>
      <c r="M20" s="9">
        <f t="shared" si="113"/>
        <v>0.2474266598044261</v>
      </c>
      <c r="N20" s="9">
        <f t="shared" si="113"/>
        <v>0.29019830028328619</v>
      </c>
      <c r="O20" s="9">
        <f t="shared" si="113"/>
        <v>0.23656138883078853</v>
      </c>
      <c r="P20" s="9">
        <f t="shared" si="113"/>
        <v>0.28839941262848767</v>
      </c>
      <c r="Q20" s="9">
        <f t="shared" si="113"/>
        <v>0.27683669585078036</v>
      </c>
      <c r="R20" s="9">
        <f t="shared" si="113"/>
        <v>0.23511293634496933</v>
      </c>
      <c r="S20" s="9">
        <f t="shared" ref="S20:AD20" si="114">S9/S3</f>
        <v>0.1742410132240641</v>
      </c>
      <c r="T20" s="9">
        <f t="shared" si="114"/>
        <v>0.11068667576170983</v>
      </c>
      <c r="U20" s="9">
        <f t="shared" si="114"/>
        <v>6.0441056357201269E-2</v>
      </c>
      <c r="V20" s="9">
        <f t="shared" si="114"/>
        <v>-0.11629987475398114</v>
      </c>
      <c r="W20" s="9">
        <f t="shared" si="114"/>
        <v>8.8655690247874432E-3</v>
      </c>
      <c r="X20" s="9">
        <f t="shared" si="114"/>
        <v>0.15596733116712036</v>
      </c>
      <c r="Y20" s="9">
        <f t="shared" si="114"/>
        <v>0.14902788774522752</v>
      </c>
      <c r="Z20" s="9">
        <f t="shared" si="114"/>
        <v>0.14696903619712173</v>
      </c>
      <c r="AA20" s="9">
        <f t="shared" si="114"/>
        <v>0.1778829302488609</v>
      </c>
      <c r="AB20" s="9">
        <f t="shared" si="114"/>
        <v>0.174021505376344</v>
      </c>
      <c r="AC20" s="9">
        <f t="shared" si="114"/>
        <v>0.15524416135881108</v>
      </c>
      <c r="AD20" s="9">
        <f t="shared" si="114"/>
        <v>0.19001773498859889</v>
      </c>
      <c r="AE20" s="9">
        <f t="shared" ref="AE20:AH20" si="115">AE9/AE3</f>
        <v>0.18412449508097423</v>
      </c>
      <c r="AF20" s="9">
        <f t="shared" si="115"/>
        <v>0.19634826182273726</v>
      </c>
      <c r="AG20" s="9">
        <f t="shared" si="115"/>
        <v>0.17240997460555341</v>
      </c>
      <c r="AH20" s="9">
        <f t="shared" si="115"/>
        <v>0.19165852778067571</v>
      </c>
      <c r="AJ20" s="9">
        <f t="shared" ref="AJ20:AW20" si="116">AJ9/AJ3</f>
        <v>1.8456883509833568E-2</v>
      </c>
      <c r="AK20" s="9">
        <f t="shared" si="116"/>
        <v>2.0555644772763743E-2</v>
      </c>
      <c r="AL20" s="9">
        <f t="shared" si="116"/>
        <v>0.2488873802519424</v>
      </c>
      <c r="AM20" s="9">
        <f t="shared" si="116"/>
        <v>0.2594209614868655</v>
      </c>
      <c r="AN20" s="9">
        <f t="shared" si="116"/>
        <v>5.5861597996813159E-2</v>
      </c>
      <c r="AO20" s="9">
        <f t="shared" si="116"/>
        <v>0.11602942150950898</v>
      </c>
      <c r="AP20" s="9">
        <f t="shared" si="116"/>
        <v>0.17428675540694052</v>
      </c>
      <c r="AQ20" s="9">
        <f t="shared" si="116"/>
        <v>0.18614601299176872</v>
      </c>
      <c r="AR20" s="9">
        <f t="shared" si="116"/>
        <v>0.19246864461753044</v>
      </c>
      <c r="AS20" s="9">
        <f t="shared" si="116"/>
        <v>0.18782751084680899</v>
      </c>
      <c r="AT20" s="9">
        <f t="shared" si="116"/>
        <v>0.18503372382549027</v>
      </c>
      <c r="AU20" s="9">
        <f t="shared" si="116"/>
        <v>0.18503372382549033</v>
      </c>
      <c r="AV20" s="9">
        <f t="shared" si="116"/>
        <v>0.1850337238254903</v>
      </c>
      <c r="AW20" s="9">
        <f t="shared" si="116"/>
        <v>0.1850337238254903</v>
      </c>
      <c r="AX20" s="9">
        <f t="shared" ref="AX20:AZ20" si="117">AX9/AX3</f>
        <v>0.18503372382549024</v>
      </c>
      <c r="AY20" s="9">
        <f t="shared" si="117"/>
        <v>0.18503372382549024</v>
      </c>
      <c r="AZ20" s="9">
        <f t="shared" si="117"/>
        <v>0.18503372382549016</v>
      </c>
      <c r="BB20" t="s">
        <v>47</v>
      </c>
      <c r="BC20" s="9">
        <v>-0.01</v>
      </c>
    </row>
    <row r="21" spans="2:55" x14ac:dyDescent="0.3">
      <c r="B21" t="s">
        <v>43</v>
      </c>
      <c r="C21" s="9"/>
      <c r="D21" s="9"/>
      <c r="E21" s="9"/>
      <c r="F21" s="9"/>
      <c r="G21" s="9">
        <f>G6/C6-1</f>
        <v>1.1904761904761907</v>
      </c>
      <c r="H21" s="9">
        <f t="shared" ref="H21:R21" si="118">H6/D6-1</f>
        <v>1.1428571428571428</v>
      </c>
      <c r="I21" s="9">
        <f t="shared" si="118"/>
        <v>0.97752808988764062</v>
      </c>
      <c r="J21" s="9">
        <f t="shared" si="118"/>
        <v>0.91666666666666652</v>
      </c>
      <c r="K21" s="9">
        <f t="shared" si="118"/>
        <v>0.9130434782608694</v>
      </c>
      <c r="L21" s="9">
        <f t="shared" si="118"/>
        <v>1.8466666666666667</v>
      </c>
      <c r="M21" s="9">
        <f t="shared" si="118"/>
        <v>1.4204545454545454</v>
      </c>
      <c r="N21" s="9">
        <f t="shared" si="118"/>
        <v>1.531400966183575</v>
      </c>
      <c r="O21" s="9">
        <f t="shared" si="118"/>
        <v>1.4696969696969697</v>
      </c>
      <c r="P21" s="9">
        <f t="shared" si="118"/>
        <v>0.92740046838407464</v>
      </c>
      <c r="Q21" s="9">
        <f t="shared" si="118"/>
        <v>1.312206572769953</v>
      </c>
      <c r="R21" s="9">
        <f t="shared" si="118"/>
        <v>1.2328244274809159</v>
      </c>
      <c r="S21" s="9">
        <f t="shared" ref="S21" si="119">S6/O6-1</f>
        <v>1.21319018404908</v>
      </c>
      <c r="T21" s="9">
        <f t="shared" ref="T21" si="120">T6/P6-1</f>
        <v>1.0972053462940461</v>
      </c>
      <c r="U21" s="9">
        <f t="shared" ref="U21" si="121">U6/Q6-1</f>
        <v>0.98883248730964479</v>
      </c>
      <c r="V21" s="9">
        <f t="shared" ref="V21" si="122">V6/R6-1</f>
        <v>1.2333333333333334</v>
      </c>
      <c r="W21" s="9">
        <f t="shared" ref="W21" si="123">W6/S6-1</f>
        <v>0.45045045045045051</v>
      </c>
      <c r="X21" s="9">
        <f t="shared" ref="X21" si="124">X6/T6-1</f>
        <v>0.11123986095017391</v>
      </c>
      <c r="Y21" s="9">
        <f t="shared" ref="Y21" si="125">Y6/U6-1</f>
        <v>4.5941807044411753E-3</v>
      </c>
      <c r="Z21" s="9">
        <f t="shared" ref="Z21" si="126">Z6/V6-1</f>
        <v>-0.21431305013394564</v>
      </c>
      <c r="AA21" s="9">
        <f t="shared" ref="AA21" si="127">AA6/W6-1</f>
        <v>-1.7677974199713398E-2</v>
      </c>
      <c r="AB21" s="9">
        <f t="shared" ref="AB21" si="128">AB6/X6-1</f>
        <v>7.8206465067778952E-2</v>
      </c>
      <c r="AC21" s="9">
        <f t="shared" ref="AC21" si="129">AC6/Y6-1</f>
        <v>0.13313008130081294</v>
      </c>
      <c r="AD21" s="9">
        <f t="shared" ref="AD21" si="130">AD6/Z6-1</f>
        <v>5.7476863127130962E-2</v>
      </c>
      <c r="AE21" s="9">
        <f t="shared" ref="AE21" si="131">AE6/AA6-1</f>
        <v>9.000000000000008E-2</v>
      </c>
      <c r="AF21" s="9">
        <f t="shared" ref="AF21" si="132">AF6/AB6-1</f>
        <v>5.0000000000000044E-2</v>
      </c>
      <c r="AG21" s="9">
        <f t="shared" ref="AG21" si="133">AG6/AC6-1</f>
        <v>4.0000000000000036E-2</v>
      </c>
      <c r="AH21" s="9">
        <f t="shared" ref="AH21" si="134">AH6/AD6-1</f>
        <v>3.0000000000000027E-2</v>
      </c>
      <c r="AJ21" s="9"/>
      <c r="AK21" s="9">
        <f t="shared" ref="AK21:AW21" si="135">AK6/AJ6-1</f>
        <v>1.0333333333333337</v>
      </c>
      <c r="AL21" s="9">
        <f t="shared" si="135"/>
        <v>1.4456035767511173</v>
      </c>
      <c r="AM21" s="9">
        <f t="shared" si="135"/>
        <v>1.2120658135283366</v>
      </c>
      <c r="AN21" s="9">
        <f t="shared" si="135"/>
        <v>1.1325068870523411</v>
      </c>
      <c r="AO21" s="9">
        <f t="shared" si="135"/>
        <v>3.7592042371786816E-2</v>
      </c>
      <c r="AP21" s="9">
        <f t="shared" si="135"/>
        <v>6.1379482071713065E-2</v>
      </c>
      <c r="AQ21" s="9">
        <f t="shared" si="135"/>
        <v>5.1937829912023448E-2</v>
      </c>
      <c r="AR21" s="9">
        <f t="shared" si="135"/>
        <v>4.0000000000000036E-2</v>
      </c>
      <c r="AS21" s="9">
        <f t="shared" si="135"/>
        <v>3.0000000000000027E-2</v>
      </c>
      <c r="AT21" s="9">
        <f t="shared" si="135"/>
        <v>2.0000000000000018E-2</v>
      </c>
      <c r="AU21" s="9">
        <f t="shared" si="135"/>
        <v>1.0000000000000009E-2</v>
      </c>
      <c r="AV21" s="9">
        <f t="shared" si="135"/>
        <v>1.0000000000000009E-2</v>
      </c>
      <c r="AW21" s="9">
        <f t="shared" si="135"/>
        <v>1.0000000000000009E-2</v>
      </c>
      <c r="AX21" s="9">
        <f t="shared" ref="AX21" si="136">AX6/AW6-1</f>
        <v>1.0000000000000009E-2</v>
      </c>
      <c r="AY21" s="9">
        <f t="shared" ref="AY21" si="137">AY6/AX6-1</f>
        <v>1.0000000000000009E-2</v>
      </c>
      <c r="AZ21" s="9">
        <f t="shared" ref="AZ21" si="138">AZ6/AY6-1</f>
        <v>1.0000000000000009E-2</v>
      </c>
      <c r="BB21" t="s">
        <v>48</v>
      </c>
      <c r="BC21" s="9">
        <v>0.08</v>
      </c>
    </row>
    <row r="22" spans="2:55" x14ac:dyDescent="0.3">
      <c r="B22" t="s">
        <v>44</v>
      </c>
      <c r="C22" s="9">
        <f t="shared" ref="C22:F22" si="139">C7/C3</f>
        <v>0.60399334442595665</v>
      </c>
      <c r="D22" s="9">
        <f t="shared" si="139"/>
        <v>0.55033557046979864</v>
      </c>
      <c r="E22" s="9">
        <f t="shared" si="139"/>
        <v>0.59378468368479476</v>
      </c>
      <c r="F22" s="9">
        <f t="shared" si="139"/>
        <v>0.5207939508506616</v>
      </c>
      <c r="G22" s="9">
        <f>G7/G3</f>
        <v>0.52459016393442626</v>
      </c>
      <c r="H22" s="9">
        <f t="shared" ref="H22:R22" si="140">H7/H3</f>
        <v>0.54663923182441698</v>
      </c>
      <c r="I22" s="9">
        <f t="shared" si="140"/>
        <v>0.57623049219687872</v>
      </c>
      <c r="J22" s="9">
        <f t="shared" si="140"/>
        <v>0.53584705257567711</v>
      </c>
      <c r="K22" s="9">
        <f t="shared" si="140"/>
        <v>0.37050578915295551</v>
      </c>
      <c r="L22" s="9">
        <f t="shared" si="140"/>
        <v>0.23993971363978897</v>
      </c>
      <c r="M22" s="9">
        <f t="shared" si="140"/>
        <v>0.24472465259907356</v>
      </c>
      <c r="N22" s="9">
        <f t="shared" si="140"/>
        <v>0.24249291784702551</v>
      </c>
      <c r="O22" s="9">
        <f t="shared" si="140"/>
        <v>0.25695461200585651</v>
      </c>
      <c r="P22" s="9">
        <f t="shared" si="140"/>
        <v>0.26549192364170338</v>
      </c>
      <c r="Q22" s="9">
        <f t="shared" si="140"/>
        <v>0.27950133231823371</v>
      </c>
      <c r="R22" s="9">
        <f t="shared" si="140"/>
        <v>0.303714765727086</v>
      </c>
      <c r="S22" s="9">
        <f t="shared" ref="S22:AD22" si="141">S7/S3</f>
        <v>0.33786552430620231</v>
      </c>
      <c r="T22" s="9">
        <f t="shared" si="141"/>
        <v>0.36425648021828105</v>
      </c>
      <c r="U22" s="9">
        <f t="shared" si="141"/>
        <v>0.38814774480442865</v>
      </c>
      <c r="V22" s="9">
        <f t="shared" si="141"/>
        <v>0.4523170513508678</v>
      </c>
      <c r="W22" s="9">
        <f t="shared" si="141"/>
        <v>0.38221458295639582</v>
      </c>
      <c r="X22" s="9">
        <f t="shared" si="141"/>
        <v>0.3279178010011416</v>
      </c>
      <c r="Y22" s="9">
        <f t="shared" si="141"/>
        <v>0.32937450514647659</v>
      </c>
      <c r="Z22" s="9">
        <f t="shared" si="141"/>
        <v>0.32368076755342351</v>
      </c>
      <c r="AA22" s="9">
        <f t="shared" si="141"/>
        <v>0.3049421661409043</v>
      </c>
      <c r="AB22" s="9">
        <f t="shared" si="141"/>
        <v>0.3086451612903226</v>
      </c>
      <c r="AC22" s="9">
        <f t="shared" si="141"/>
        <v>0.30717622080679402</v>
      </c>
      <c r="AD22" s="9">
        <f t="shared" si="141"/>
        <v>0.30309940038848071</v>
      </c>
      <c r="AE22" s="9">
        <f t="shared" ref="AE22:AH22" si="142">AE7/AE3</f>
        <v>0.3</v>
      </c>
      <c r="AF22" s="9">
        <f t="shared" si="142"/>
        <v>0.3</v>
      </c>
      <c r="AG22" s="9">
        <f t="shared" si="142"/>
        <v>0.3</v>
      </c>
      <c r="AH22" s="9">
        <f t="shared" si="142"/>
        <v>0.3</v>
      </c>
      <c r="AJ22" s="9">
        <f t="shared" ref="AJ22:AW22" si="143">AJ7/AJ3</f>
        <v>0.562481089258699</v>
      </c>
      <c r="AK22" s="9">
        <f t="shared" si="143"/>
        <v>0.54697286012526092</v>
      </c>
      <c r="AL22" s="9">
        <f t="shared" si="143"/>
        <v>0.25835407709134794</v>
      </c>
      <c r="AM22" s="9">
        <f t="shared" si="143"/>
        <v>0.27707992877875071</v>
      </c>
      <c r="AN22" s="9">
        <f t="shared" si="143"/>
        <v>0.38620532665604368</v>
      </c>
      <c r="AO22" s="9">
        <f t="shared" si="143"/>
        <v>0.3404678285070572</v>
      </c>
      <c r="AP22" s="9">
        <f t="shared" si="143"/>
        <v>0.3059610314449232</v>
      </c>
      <c r="AQ22" s="9">
        <f t="shared" si="143"/>
        <v>0.3</v>
      </c>
      <c r="AR22" s="9">
        <f t="shared" si="143"/>
        <v>0.28999999999999998</v>
      </c>
      <c r="AS22" s="9">
        <f t="shared" si="143"/>
        <v>0.28999999999999998</v>
      </c>
      <c r="AT22" s="9">
        <f t="shared" si="143"/>
        <v>0.28999999999999998</v>
      </c>
      <c r="AU22" s="9">
        <f t="shared" si="143"/>
        <v>0.28999999999999998</v>
      </c>
      <c r="AV22" s="9">
        <f t="shared" si="143"/>
        <v>0.28999999999999998</v>
      </c>
      <c r="AW22" s="9">
        <f t="shared" si="143"/>
        <v>0.28999999999999998</v>
      </c>
      <c r="AX22" s="9">
        <f t="shared" ref="AX22:AZ22" si="144">AX7/AX3</f>
        <v>0.28999999999999998</v>
      </c>
      <c r="AY22" s="9">
        <f t="shared" si="144"/>
        <v>0.28999999999999998</v>
      </c>
      <c r="AZ22" s="9">
        <f t="shared" si="144"/>
        <v>0.28999999999999998</v>
      </c>
      <c r="BB22" t="s">
        <v>49</v>
      </c>
      <c r="BC22" s="3">
        <f>NPV(BC21,AQ14:FD14)</f>
        <v>12368.960580152019</v>
      </c>
    </row>
    <row r="23" spans="2:55" x14ac:dyDescent="0.3">
      <c r="B23" t="s">
        <v>45</v>
      </c>
      <c r="C23" s="9"/>
      <c r="D23" s="9"/>
      <c r="E23" s="9"/>
      <c r="F23" s="9"/>
      <c r="G23" s="9">
        <f>G8/C8-1</f>
        <v>1.4342105263157894</v>
      </c>
      <c r="H23" s="9">
        <f t="shared" ref="H23:R23" si="145">H8/D8-1</f>
        <v>1.1000000000000001</v>
      </c>
      <c r="I23" s="9">
        <f t="shared" si="145"/>
        <v>0.98333333333333339</v>
      </c>
      <c r="J23" s="9">
        <f t="shared" si="145"/>
        <v>0.58389261744966459</v>
      </c>
      <c r="K23" s="9">
        <f t="shared" si="145"/>
        <v>1.8702702702702703</v>
      </c>
      <c r="L23" s="9">
        <f t="shared" si="145"/>
        <v>2.8666666666666667</v>
      </c>
      <c r="M23" s="9">
        <f t="shared" si="145"/>
        <v>2.9243697478991599</v>
      </c>
      <c r="N23" s="9">
        <f t="shared" si="145"/>
        <v>2.9279661016949152</v>
      </c>
      <c r="O23" s="9">
        <f t="shared" si="145"/>
        <v>1.9020715630885121</v>
      </c>
      <c r="P23" s="9">
        <f t="shared" si="145"/>
        <v>0.38054187192118216</v>
      </c>
      <c r="Q23" s="9">
        <f t="shared" si="145"/>
        <v>3.5331905781584627E-2</v>
      </c>
      <c r="R23" s="9">
        <f t="shared" si="145"/>
        <v>0.29234088457389418</v>
      </c>
      <c r="S23" s="9">
        <f t="shared" ref="S23" si="146">S8/O8-1</f>
        <v>-0.23556132381570405</v>
      </c>
      <c r="T23" s="9">
        <f t="shared" ref="T23" si="147">T8/P8-1</f>
        <v>0.16949152542372881</v>
      </c>
      <c r="U23" s="9">
        <f t="shared" ref="U23" si="148">U8/Q8-1</f>
        <v>0.45811789038262662</v>
      </c>
      <c r="V23" s="9">
        <f t="shared" ref="V23" si="149">V8/R8-1</f>
        <v>0.55676126878130217</v>
      </c>
      <c r="W23" s="9">
        <f t="shared" ref="W23" si="150">W8/S8-1</f>
        <v>0.69694397283531417</v>
      </c>
      <c r="X23" s="9">
        <f t="shared" ref="X23" si="151">X8/T8-1</f>
        <v>-1.372997711670465E-2</v>
      </c>
      <c r="Y23" s="9">
        <f t="shared" ref="Y23" si="152">Y8/U8-1</f>
        <v>-0.11276595744680851</v>
      </c>
      <c r="Z23" s="9">
        <f t="shared" ref="Z23" si="153">Z8/V8-1</f>
        <v>-0.32815013404825744</v>
      </c>
      <c r="AA23" s="9">
        <f t="shared" ref="AA23" si="154">AA8/W8-1</f>
        <v>-0.44322161080540268</v>
      </c>
      <c r="AB23" s="9">
        <f t="shared" ref="AB23" si="155">AB8/X8-1</f>
        <v>-0.15313225058004643</v>
      </c>
      <c r="AC23" s="9">
        <f t="shared" ref="AC23" si="156">AC8/Y8-1</f>
        <v>7.9936051159072985E-3</v>
      </c>
      <c r="AD23" s="9">
        <f t="shared" ref="AD23" si="157">AD8/Z8-1</f>
        <v>-0.23623304070231443</v>
      </c>
      <c r="AE23" s="9">
        <f t="shared" ref="AE23" si="158">AE8/AA8-1</f>
        <v>-9.9999999999999978E-2</v>
      </c>
      <c r="AF23" s="9">
        <f t="shared" ref="AF23" si="159">AF8/AB8-1</f>
        <v>-9.9999999999999978E-2</v>
      </c>
      <c r="AG23" s="9">
        <f t="shared" ref="AG23" si="160">AG8/AC8-1</f>
        <v>-9.9999999999999978E-2</v>
      </c>
      <c r="AH23" s="9">
        <f t="shared" ref="AH23" si="161">AH8/AD8-1</f>
        <v>5.0000000000000044E-2</v>
      </c>
      <c r="AJ23" s="9"/>
      <c r="AK23" s="9">
        <f t="shared" ref="AK23:AW23" si="162">AK8/AJ8-1</f>
        <v>0.95280898876404496</v>
      </c>
      <c r="AL23" s="9">
        <f t="shared" si="162"/>
        <v>2.6869965477560416</v>
      </c>
      <c r="AM23" s="9">
        <f t="shared" si="162"/>
        <v>0.50655430711610472</v>
      </c>
      <c r="AN23" s="9">
        <f t="shared" si="162"/>
        <v>0.19411642842345134</v>
      </c>
      <c r="AO23" s="9">
        <f t="shared" si="162"/>
        <v>5.5517002081888478E-3</v>
      </c>
      <c r="AP23" s="9">
        <f t="shared" si="162"/>
        <v>-0.23636991028295384</v>
      </c>
      <c r="AQ23" s="9">
        <f t="shared" si="162"/>
        <v>-6.7566651604157202E-2</v>
      </c>
      <c r="AR23" s="9">
        <f t="shared" si="162"/>
        <v>2.0000000000000018E-2</v>
      </c>
      <c r="AS23" s="9">
        <f t="shared" si="162"/>
        <v>2.0000000000000018E-2</v>
      </c>
      <c r="AT23" s="9">
        <f t="shared" si="162"/>
        <v>2.0000000000000018E-2</v>
      </c>
      <c r="AU23" s="9">
        <f t="shared" si="162"/>
        <v>1.0000000000000009E-2</v>
      </c>
      <c r="AV23" s="9">
        <f t="shared" si="162"/>
        <v>1.0000000000000009E-2</v>
      </c>
      <c r="AW23" s="9">
        <f t="shared" si="162"/>
        <v>1.0000000000000009E-2</v>
      </c>
      <c r="AX23" s="9">
        <f t="shared" ref="AX23" si="163">AX8/AW8-1</f>
        <v>1.0000000000000009E-2</v>
      </c>
      <c r="AY23" s="9">
        <f t="shared" ref="AY23" si="164">AY8/AX8-1</f>
        <v>1.0000000000000009E-2</v>
      </c>
      <c r="AZ23" s="9">
        <f t="shared" ref="AZ23" si="165">AZ8/AY8-1</f>
        <v>1.0000000000000009E-2</v>
      </c>
      <c r="BB23" t="s">
        <v>50</v>
      </c>
      <c r="BC23" s="3">
        <f>Main!D8</f>
        <v>8383.2000000000007</v>
      </c>
    </row>
    <row r="24" spans="2:55" x14ac:dyDescent="0.3">
      <c r="B24" t="s">
        <v>36</v>
      </c>
      <c r="C24" s="9">
        <f t="shared" ref="C24:F24" si="166">C12/C11</f>
        <v>-7.1428571428572021E-2</v>
      </c>
      <c r="D24" s="9">
        <f t="shared" si="166"/>
        <v>2.4390243902439029E-2</v>
      </c>
      <c r="E24" s="9">
        <f t="shared" si="166"/>
        <v>-0.1999999999999966</v>
      </c>
      <c r="F24" s="9">
        <f t="shared" si="166"/>
        <v>-6.557377049180331E-2</v>
      </c>
      <c r="G24" s="9">
        <f>G12/G11</f>
        <v>0.115384615384615</v>
      </c>
      <c r="H24" s="9">
        <f t="shared" ref="H24:R24" si="167">H12/H11</f>
        <v>0.1791044776119402</v>
      </c>
      <c r="I24" s="9">
        <f t="shared" si="167"/>
        <v>0.1153846153846159</v>
      </c>
      <c r="J24" s="9">
        <f t="shared" si="167"/>
        <v>-5.4794520547945147E-2</v>
      </c>
      <c r="K24" s="9">
        <f t="shared" si="167"/>
        <v>7.1917808219178092E-2</v>
      </c>
      <c r="L24" s="9">
        <f t="shared" si="167"/>
        <v>2.2082018927444793E-2</v>
      </c>
      <c r="M24" s="9">
        <f t="shared" si="167"/>
        <v>-2.369912416280268E-2</v>
      </c>
      <c r="N24" s="9">
        <f t="shared" si="167"/>
        <v>1.5117157974300827E-2</v>
      </c>
      <c r="O24" s="9">
        <f t="shared" si="167"/>
        <v>6.1188811188811181E-3</v>
      </c>
      <c r="P24" s="9">
        <f t="shared" si="167"/>
        <v>2.0994133991972821E-2</v>
      </c>
      <c r="Q24" s="9">
        <f t="shared" si="167"/>
        <v>0.17036314891542778</v>
      </c>
      <c r="R24" s="9">
        <f t="shared" si="167"/>
        <v>-2.5385724585436167</v>
      </c>
      <c r="S24" s="9">
        <f t="shared" ref="S24:AD24" si="168">S12/S11</f>
        <v>0.20876826722338201</v>
      </c>
      <c r="T24" s="9">
        <f t="shared" si="168"/>
        <v>0.49336283185840735</v>
      </c>
      <c r="U24" s="9">
        <f t="shared" si="168"/>
        <v>0.11678832116788304</v>
      </c>
      <c r="V24" s="9">
        <f t="shared" si="168"/>
        <v>-1.624685138539038</v>
      </c>
      <c r="W24" s="9">
        <f t="shared" si="168"/>
        <v>0.64203233256350978</v>
      </c>
      <c r="X24" s="9">
        <f t="shared" si="168"/>
        <v>0.27316293929712465</v>
      </c>
      <c r="Y24" s="9">
        <f t="shared" si="168"/>
        <v>0.24004305705059187</v>
      </c>
      <c r="Z24" s="9">
        <f t="shared" si="168"/>
        <v>0.1533012184754888</v>
      </c>
      <c r="AA24" s="9">
        <f t="shared" si="168"/>
        <v>0.2592465753424657</v>
      </c>
      <c r="AB24" s="9">
        <f t="shared" si="168"/>
        <v>0.25239071038251376</v>
      </c>
      <c r="AC24" s="9">
        <f t="shared" si="168"/>
        <v>0.26186229040313946</v>
      </c>
      <c r="AD24" s="9">
        <f t="shared" si="168"/>
        <v>0.18321119253830781</v>
      </c>
      <c r="AE24" s="9">
        <f t="shared" ref="AE24:AH24" si="169">AE12/AE11</f>
        <v>0.25</v>
      </c>
      <c r="AF24" s="9">
        <f t="shared" si="169"/>
        <v>0.25</v>
      </c>
      <c r="AG24" s="9">
        <f t="shared" si="169"/>
        <v>0.25</v>
      </c>
      <c r="AH24" s="9">
        <f t="shared" si="169"/>
        <v>0.20000000000000004</v>
      </c>
      <c r="AJ24" s="9">
        <f t="shared" ref="AJ24:AW24" si="170">AJ12/AJ11</f>
        <v>-1.2048192771084343E-2</v>
      </c>
      <c r="AK24" s="9">
        <f t="shared" si="170"/>
        <v>3.77358490566038E-2</v>
      </c>
      <c r="AL24" s="9">
        <f t="shared" si="170"/>
        <v>8.4058398466302902E-3</v>
      </c>
      <c r="AM24" s="9">
        <f t="shared" si="170"/>
        <v>-0.2487065444313335</v>
      </c>
      <c r="AN24" s="9">
        <f t="shared" si="170"/>
        <v>0.58386837881219855</v>
      </c>
      <c r="AO24" s="9">
        <f t="shared" si="170"/>
        <v>0.23414223930802497</v>
      </c>
      <c r="AP24" s="9">
        <f t="shared" si="170"/>
        <v>0.2322487456287062</v>
      </c>
      <c r="AQ24" s="9">
        <f t="shared" si="170"/>
        <v>0.23715270569481933</v>
      </c>
      <c r="AR24" s="9">
        <f t="shared" si="170"/>
        <v>0.24</v>
      </c>
      <c r="AS24" s="9">
        <f t="shared" si="170"/>
        <v>0.24000000000000002</v>
      </c>
      <c r="AT24" s="9">
        <f t="shared" si="170"/>
        <v>0.23999999999999996</v>
      </c>
      <c r="AU24" s="9">
        <f t="shared" si="170"/>
        <v>0.24</v>
      </c>
      <c r="AV24" s="9">
        <f t="shared" si="170"/>
        <v>0.24</v>
      </c>
      <c r="AW24" s="9">
        <f t="shared" si="170"/>
        <v>0.24000000000000002</v>
      </c>
      <c r="AX24" s="9">
        <f t="shared" ref="AX24:AZ24" si="171">AX12/AX11</f>
        <v>0.24</v>
      </c>
      <c r="AY24" s="9">
        <f t="shared" si="171"/>
        <v>0.24</v>
      </c>
      <c r="AZ24" s="9">
        <f t="shared" si="171"/>
        <v>0.24</v>
      </c>
      <c r="BB24" t="s">
        <v>51</v>
      </c>
      <c r="BC24" s="3">
        <f>BC22+BC23</f>
        <v>20752.16058015202</v>
      </c>
    </row>
    <row r="25" spans="2:55" x14ac:dyDescent="0.3">
      <c r="B25" s="1" t="s">
        <v>46</v>
      </c>
      <c r="C25" s="9">
        <f t="shared" ref="C25:F25" si="172">C14/C3</f>
        <v>-2.4958402662229425E-2</v>
      </c>
      <c r="D25" s="9">
        <f t="shared" si="172"/>
        <v>9.3959731543624119E-3</v>
      </c>
      <c r="E25" s="9">
        <f t="shared" si="172"/>
        <v>-6.6592674805772316E-3</v>
      </c>
      <c r="F25" s="9">
        <f t="shared" si="172"/>
        <v>1.8903591682419642E-2</v>
      </c>
      <c r="G25" s="9">
        <f>G14/G3</f>
        <v>2.4590163934426943E-3</v>
      </c>
      <c r="H25" s="9">
        <f t="shared" ref="H25:R25" si="173">H14/H3</f>
        <v>3.7722908093278482E-2</v>
      </c>
      <c r="I25" s="9">
        <f t="shared" si="173"/>
        <v>1.3805522208883484E-2</v>
      </c>
      <c r="J25" s="9">
        <f t="shared" si="173"/>
        <v>8.1784386617100455E-2</v>
      </c>
      <c r="K25" s="9">
        <f t="shared" si="173"/>
        <v>8.2571602681291892E-2</v>
      </c>
      <c r="L25" s="9">
        <f t="shared" si="173"/>
        <v>0.28003014318010555</v>
      </c>
      <c r="M25" s="9">
        <f t="shared" si="173"/>
        <v>0.25540401441070509</v>
      </c>
      <c r="N25" s="9">
        <f t="shared" si="173"/>
        <v>0.29507082152974512</v>
      </c>
      <c r="O25" s="9">
        <f t="shared" si="173"/>
        <v>0.23781635641079271</v>
      </c>
      <c r="P25" s="9">
        <f t="shared" si="173"/>
        <v>0.31023005384238878</v>
      </c>
      <c r="Q25" s="9">
        <f t="shared" si="173"/>
        <v>0.32384849638370761</v>
      </c>
      <c r="R25" s="9">
        <f t="shared" si="173"/>
        <v>0.45799887997013267</v>
      </c>
      <c r="S25" s="9">
        <f t="shared" ref="S25:AD25" si="174">S14/S3</f>
        <v>0.10588563978394488</v>
      </c>
      <c r="T25" s="9">
        <f t="shared" si="174"/>
        <v>4.1655297862664802E-2</v>
      </c>
      <c r="U25" s="9">
        <f t="shared" si="174"/>
        <v>4.3924131046374514E-2</v>
      </c>
      <c r="V25" s="9">
        <f t="shared" si="174"/>
        <v>-9.3218822687421835E-2</v>
      </c>
      <c r="W25" s="9">
        <f t="shared" si="174"/>
        <v>1.4022073457571954E-2</v>
      </c>
      <c r="X25" s="9">
        <f t="shared" si="174"/>
        <v>0.15983138666900848</v>
      </c>
      <c r="Y25" s="9">
        <f t="shared" si="174"/>
        <v>0.12421923110759227</v>
      </c>
      <c r="Z25" s="9">
        <f t="shared" si="174"/>
        <v>0.26061927605756652</v>
      </c>
      <c r="AA25" s="9">
        <f t="shared" si="174"/>
        <v>0.18953732912723453</v>
      </c>
      <c r="AB25" s="9">
        <f t="shared" si="174"/>
        <v>0.18830107526881712</v>
      </c>
      <c r="AC25" s="9">
        <f t="shared" si="174"/>
        <v>0.17571125265392787</v>
      </c>
      <c r="AD25" s="9">
        <f t="shared" si="174"/>
        <v>0.31061565746136305</v>
      </c>
      <c r="AE25" s="9">
        <f t="shared" ref="AE25:AH25" si="175">AE14/AE3</f>
        <v>0.2018994824048268</v>
      </c>
      <c r="AF25" s="9">
        <f t="shared" si="175"/>
        <v>0.2098982148449734</v>
      </c>
      <c r="AG25" s="9">
        <f t="shared" si="175"/>
        <v>0.19175284126389405</v>
      </c>
      <c r="AH25" s="9">
        <f t="shared" si="175"/>
        <v>0.2195639411748147</v>
      </c>
      <c r="AJ25" s="9">
        <f t="shared" ref="AJ25:AW25" si="176">AJ14/AJ3</f>
        <v>1.8154311649016442E-3</v>
      </c>
      <c r="AK25" s="9">
        <f t="shared" si="176"/>
        <v>3.7738879074995957E-2</v>
      </c>
      <c r="AL25" s="9">
        <f t="shared" si="176"/>
        <v>0.25337557516783588</v>
      </c>
      <c r="AM25" s="9">
        <f t="shared" si="176"/>
        <v>0.33544720602941525</v>
      </c>
      <c r="AN25" s="9">
        <f t="shared" si="176"/>
        <v>2.3605736398816347E-2</v>
      </c>
      <c r="AO25" s="9">
        <f t="shared" si="176"/>
        <v>0.14081240474454976</v>
      </c>
      <c r="AP25" s="9">
        <f t="shared" si="176"/>
        <v>0.21647053780035572</v>
      </c>
      <c r="AQ25" s="9">
        <f t="shared" si="176"/>
        <v>0.20581564140191977</v>
      </c>
      <c r="AR25" s="9">
        <f t="shared" si="176"/>
        <v>0.20922934475803881</v>
      </c>
      <c r="AS25" s="9">
        <f t="shared" si="176"/>
        <v>0.20570208309229049</v>
      </c>
      <c r="AT25" s="9">
        <f t="shared" si="176"/>
        <v>0.20357880495608827</v>
      </c>
      <c r="AU25" s="9">
        <f t="shared" si="176"/>
        <v>0.20357880495608832</v>
      </c>
      <c r="AV25" s="9">
        <f t="shared" si="176"/>
        <v>0.20357880495608827</v>
      </c>
      <c r="AW25" s="9">
        <f t="shared" si="176"/>
        <v>0.20357880495608827</v>
      </c>
      <c r="AX25" s="9">
        <f t="shared" ref="AX25:AZ25" si="177">AX14/AX3</f>
        <v>0.20357880495608827</v>
      </c>
      <c r="AY25" s="9">
        <f t="shared" si="177"/>
        <v>0.20357880495608827</v>
      </c>
      <c r="AZ25" s="9">
        <f t="shared" si="177"/>
        <v>0.20357880495608818</v>
      </c>
      <c r="BB25" t="s">
        <v>53</v>
      </c>
      <c r="BC25" s="11">
        <f>BC24/AW15</f>
        <v>67.684802935916565</v>
      </c>
    </row>
    <row r="26" spans="2:55" x14ac:dyDescent="0.3">
      <c r="BB26" t="s">
        <v>52</v>
      </c>
      <c r="BC26" s="11">
        <f>Main!D3</f>
        <v>73.25</v>
      </c>
    </row>
    <row r="27" spans="2:55" s="1" customFormat="1" x14ac:dyDescent="0.3">
      <c r="B27" s="1" t="s">
        <v>50</v>
      </c>
      <c r="BB27" s="1" t="s">
        <v>54</v>
      </c>
      <c r="BC27" s="10">
        <f>BC25/BC26-1</f>
        <v>-7.5975386540388157E-2</v>
      </c>
    </row>
    <row r="28" spans="2:55" x14ac:dyDescent="0.3">
      <c r="B28" t="s">
        <v>4</v>
      </c>
      <c r="BB28" t="s">
        <v>55</v>
      </c>
      <c r="BC28" s="6" t="s">
        <v>78</v>
      </c>
    </row>
    <row r="29" spans="2:55" x14ac:dyDescent="0.3">
      <c r="B29" t="s">
        <v>68</v>
      </c>
    </row>
    <row r="30" spans="2:55" x14ac:dyDescent="0.3">
      <c r="B30" t="s">
        <v>69</v>
      </c>
    </row>
    <row r="31" spans="2:55" x14ac:dyDescent="0.3">
      <c r="B31" t="s">
        <v>70</v>
      </c>
    </row>
    <row r="32" spans="2:55" x14ac:dyDescent="0.3">
      <c r="B32" t="s">
        <v>71</v>
      </c>
      <c r="BB32" s="1"/>
      <c r="BC32" s="1"/>
    </row>
    <row r="33" spans="2:55" s="1" customFormat="1" x14ac:dyDescent="0.3">
      <c r="B33" s="1" t="s">
        <v>72</v>
      </c>
      <c r="BB33"/>
      <c r="BC33"/>
    </row>
    <row r="34" spans="2:55" x14ac:dyDescent="0.3">
      <c r="B34" t="s">
        <v>70</v>
      </c>
    </row>
    <row r="35" spans="2:55" x14ac:dyDescent="0.3">
      <c r="B35" t="s">
        <v>73</v>
      </c>
    </row>
  </sheetData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</dc:creator>
  <cp:lastModifiedBy>Anton Mniszek</cp:lastModifiedBy>
  <dcterms:created xsi:type="dcterms:W3CDTF">2021-03-07T15:38:33Z</dcterms:created>
  <dcterms:modified xsi:type="dcterms:W3CDTF">2025-04-04T09:11:49Z</dcterms:modified>
</cp:coreProperties>
</file>