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8_{26B47EE4-B9B3-421D-A31B-60C95670D91D}" xr6:coauthVersionLast="47" xr6:coauthVersionMax="47" xr10:uidLastSave="{00000000-0000-0000-0000-000000000000}"/>
  <bookViews>
    <workbookView xWindow="-108" yWindow="-108" windowWidth="23256" windowHeight="12576" activeTab="1" xr2:uid="{C29C798D-B524-42C0-A8BB-E29AEF4A0B73}"/>
  </bookViews>
  <sheets>
    <sheet name="Main" sheetId="1" r:id="rId1"/>
    <sheet name="Model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7" i="2" l="1"/>
  <c r="AC24" i="2"/>
  <c r="J12" i="2"/>
  <c r="J5" i="2"/>
  <c r="J21" i="2" s="1"/>
  <c r="K12" i="2"/>
  <c r="K5" i="2"/>
  <c r="K8" i="2" s="1"/>
  <c r="L12" i="2"/>
  <c r="L5" i="2"/>
  <c r="L8" i="2" s="1"/>
  <c r="M12" i="2"/>
  <c r="M5" i="2"/>
  <c r="M8" i="2" s="1"/>
  <c r="M23" i="2" s="1"/>
  <c r="O25" i="2"/>
  <c r="N25" i="2"/>
  <c r="O24" i="2"/>
  <c r="N24" i="2"/>
  <c r="O23" i="2"/>
  <c r="N23" i="2"/>
  <c r="O22" i="2"/>
  <c r="N22" i="2"/>
  <c r="M22" i="2"/>
  <c r="L22" i="2"/>
  <c r="O21" i="2"/>
  <c r="N21" i="2"/>
  <c r="O20" i="2"/>
  <c r="N20" i="2"/>
  <c r="M20" i="2"/>
  <c r="L20" i="2"/>
  <c r="K22" i="2"/>
  <c r="K20" i="2"/>
  <c r="P14" i="2"/>
  <c r="P15" i="2"/>
  <c r="P11" i="2"/>
  <c r="P10" i="2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P9" i="2"/>
  <c r="Q9" i="2" s="1"/>
  <c r="P7" i="2"/>
  <c r="Q7" i="2" s="1"/>
  <c r="R7" i="2" s="1"/>
  <c r="S7" i="2" s="1"/>
  <c r="T7" i="2" s="1"/>
  <c r="U7" i="2" s="1"/>
  <c r="V7" i="2" s="1"/>
  <c r="W7" i="2" s="1"/>
  <c r="X7" i="2" s="1"/>
  <c r="Y7" i="2" s="1"/>
  <c r="Z7" i="2" s="1"/>
  <c r="N12" i="2"/>
  <c r="N5" i="2"/>
  <c r="N8" i="2" s="1"/>
  <c r="O12" i="2"/>
  <c r="O5" i="2"/>
  <c r="O8" i="2" s="1"/>
  <c r="D9" i="1"/>
  <c r="D8" i="1"/>
  <c r="D7" i="1"/>
  <c r="D6" i="1"/>
  <c r="D5" i="1"/>
  <c r="F3" i="1"/>
  <c r="R9" i="2" l="1"/>
  <c r="Q12" i="2"/>
  <c r="J8" i="2"/>
  <c r="K21" i="2"/>
  <c r="K13" i="2"/>
  <c r="K23" i="2"/>
  <c r="L21" i="2"/>
  <c r="L23" i="2"/>
  <c r="L13" i="2"/>
  <c r="P4" i="2"/>
  <c r="M21" i="2"/>
  <c r="M13" i="2"/>
  <c r="P3" i="2"/>
  <c r="P6" i="2"/>
  <c r="P12" i="2"/>
  <c r="O13" i="2"/>
  <c r="O16" i="2" s="1"/>
  <c r="O18" i="2" s="1"/>
  <c r="N13" i="2"/>
  <c r="N16" i="2" s="1"/>
  <c r="N18" i="2" s="1"/>
  <c r="Q6" i="2" l="1"/>
  <c r="P22" i="2"/>
  <c r="P20" i="2"/>
  <c r="Q3" i="2"/>
  <c r="S9" i="2"/>
  <c r="R12" i="2"/>
  <c r="J23" i="2"/>
  <c r="J13" i="2"/>
  <c r="K16" i="2"/>
  <c r="K24" i="2"/>
  <c r="L16" i="2"/>
  <c r="L24" i="2"/>
  <c r="P5" i="2"/>
  <c r="P21" i="2" s="1"/>
  <c r="M16" i="2"/>
  <c r="M24" i="2"/>
  <c r="T9" i="2" l="1"/>
  <c r="S12" i="2"/>
  <c r="P8" i="2"/>
  <c r="P23" i="2" s="1"/>
  <c r="R3" i="2"/>
  <c r="Q5" i="2"/>
  <c r="Q20" i="2"/>
  <c r="Q4" i="2"/>
  <c r="Q22" i="2"/>
  <c r="R6" i="2"/>
  <c r="J24" i="2"/>
  <c r="J16" i="2"/>
  <c r="K18" i="2"/>
  <c r="K25" i="2"/>
  <c r="L18" i="2"/>
  <c r="L25" i="2"/>
  <c r="M25" i="2"/>
  <c r="M18" i="2"/>
  <c r="Q8" i="2" l="1"/>
  <c r="Q21" i="2"/>
  <c r="S3" i="2"/>
  <c r="R5" i="2"/>
  <c r="R20" i="2"/>
  <c r="R4" i="2"/>
  <c r="P13" i="2"/>
  <c r="P24" i="2" s="1"/>
  <c r="S6" i="2"/>
  <c r="R22" i="2"/>
  <c r="U9" i="2"/>
  <c r="T12" i="2"/>
  <c r="J18" i="2"/>
  <c r="J25" i="2"/>
  <c r="P16" i="2" l="1"/>
  <c r="P18" i="2" s="1"/>
  <c r="R8" i="2"/>
  <c r="R21" i="2"/>
  <c r="T3" i="2"/>
  <c r="S5" i="2"/>
  <c r="S20" i="2"/>
  <c r="S4" i="2"/>
  <c r="V9" i="2"/>
  <c r="U12" i="2"/>
  <c r="S22" i="2"/>
  <c r="T6" i="2"/>
  <c r="Q23" i="2"/>
  <c r="Q13" i="2"/>
  <c r="R23" i="2" l="1"/>
  <c r="R13" i="2"/>
  <c r="W9" i="2"/>
  <c r="V12" i="2"/>
  <c r="Q14" i="2"/>
  <c r="Q24" i="2" s="1"/>
  <c r="S21" i="2"/>
  <c r="S8" i="2"/>
  <c r="P25" i="2"/>
  <c r="U3" i="2"/>
  <c r="T20" i="2"/>
  <c r="T5" i="2"/>
  <c r="T4" i="2"/>
  <c r="U6" i="2"/>
  <c r="T22" i="2"/>
  <c r="Q16" i="2" l="1"/>
  <c r="V3" i="2"/>
  <c r="U5" i="2"/>
  <c r="U20" i="2"/>
  <c r="S13" i="2"/>
  <c r="S23" i="2"/>
  <c r="Q18" i="2"/>
  <c r="Q25" i="2"/>
  <c r="T8" i="2"/>
  <c r="T21" i="2"/>
  <c r="R14" i="2"/>
  <c r="R24" i="2" s="1"/>
  <c r="R16" i="2"/>
  <c r="V6" i="2"/>
  <c r="U22" i="2"/>
  <c r="X9" i="2"/>
  <c r="W12" i="2"/>
  <c r="U8" i="2" l="1"/>
  <c r="U21" i="2"/>
  <c r="T13" i="2"/>
  <c r="T23" i="2"/>
  <c r="W6" i="2"/>
  <c r="V22" i="2"/>
  <c r="R18" i="2"/>
  <c r="R25" i="2"/>
  <c r="U4" i="2"/>
  <c r="W3" i="2"/>
  <c r="V20" i="2"/>
  <c r="V5" i="2"/>
  <c r="Y9" i="2"/>
  <c r="X12" i="2"/>
  <c r="S14" i="2"/>
  <c r="S24" i="2" s="1"/>
  <c r="S16" i="2"/>
  <c r="S18" i="2" l="1"/>
  <c r="S25" i="2"/>
  <c r="Z9" i="2"/>
  <c r="Z12" i="2" s="1"/>
  <c r="Y12" i="2"/>
  <c r="V8" i="2"/>
  <c r="V21" i="2"/>
  <c r="V4" i="2"/>
  <c r="X6" i="2"/>
  <c r="W22" i="2"/>
  <c r="T14" i="2"/>
  <c r="T24" i="2" s="1"/>
  <c r="T16" i="2"/>
  <c r="X3" i="2"/>
  <c r="W5" i="2"/>
  <c r="W20" i="2"/>
  <c r="W4" i="2"/>
  <c r="U13" i="2"/>
  <c r="U23" i="2"/>
  <c r="Y6" i="2" l="1"/>
  <c r="X22" i="2"/>
  <c r="W8" i="2"/>
  <c r="W21" i="2"/>
  <c r="U14" i="2"/>
  <c r="U24" i="2" s="1"/>
  <c r="U16" i="2"/>
  <c r="V13" i="2"/>
  <c r="V14" i="2" s="1"/>
  <c r="V23" i="2"/>
  <c r="Y3" i="2"/>
  <c r="X5" i="2"/>
  <c r="X4" i="2" s="1"/>
  <c r="X20" i="2"/>
  <c r="T18" i="2"/>
  <c r="T25" i="2"/>
  <c r="U25" i="2" l="1"/>
  <c r="U18" i="2"/>
  <c r="V16" i="2"/>
  <c r="V24" i="2"/>
  <c r="W13" i="2"/>
  <c r="W14" i="2" s="1"/>
  <c r="W23" i="2"/>
  <c r="X21" i="2"/>
  <c r="X8" i="2"/>
  <c r="Z3" i="2"/>
  <c r="Y5" i="2"/>
  <c r="Y4" i="2" s="1"/>
  <c r="Y20" i="2"/>
  <c r="Z6" i="2"/>
  <c r="Z22" i="2" s="1"/>
  <c r="Y22" i="2"/>
  <c r="V25" i="2" l="1"/>
  <c r="V18" i="2"/>
  <c r="X13" i="2"/>
  <c r="X23" i="2"/>
  <c r="W16" i="2"/>
  <c r="W24" i="2"/>
  <c r="Y21" i="2"/>
  <c r="Y8" i="2"/>
  <c r="Z5" i="2"/>
  <c r="Z20" i="2"/>
  <c r="Y13" i="2" l="1"/>
  <c r="Y23" i="2"/>
  <c r="Z8" i="2"/>
  <c r="Z21" i="2"/>
  <c r="W18" i="2"/>
  <c r="W25" i="2"/>
  <c r="Z4" i="2"/>
  <c r="X14" i="2"/>
  <c r="X24" i="2" s="1"/>
  <c r="Z13" i="2" l="1"/>
  <c r="Z23" i="2"/>
  <c r="X16" i="2"/>
  <c r="Y14" i="2"/>
  <c r="Y24" i="2" s="1"/>
  <c r="Y16" i="2"/>
  <c r="X18" i="2" l="1"/>
  <c r="X25" i="2"/>
  <c r="Y25" i="2"/>
  <c r="Y18" i="2"/>
  <c r="Z14" i="2"/>
  <c r="Z24" i="2" s="1"/>
  <c r="Z16" i="2" l="1"/>
  <c r="Z18" i="2" l="1"/>
  <c r="AA16" i="2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EF16" i="2" s="1"/>
  <c r="EG16" i="2" s="1"/>
  <c r="EH16" i="2" s="1"/>
  <c r="EI16" i="2" s="1"/>
  <c r="EJ16" i="2" s="1"/>
  <c r="EK16" i="2" s="1"/>
  <c r="EL16" i="2" s="1"/>
  <c r="AC23" i="2" s="1"/>
  <c r="AC25" i="2" s="1"/>
  <c r="AC26" i="2" s="1"/>
  <c r="AC28" i="2" s="1"/>
  <c r="Z25" i="2"/>
</calcChain>
</file>

<file path=xl/sharedStrings.xml><?xml version="1.0" encoding="utf-8"?>
<sst xmlns="http://schemas.openxmlformats.org/spreadsheetml/2006/main" count="45" uniqueCount="41">
  <si>
    <t>BRBY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</si>
  <si>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</si>
  <si>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</si>
  <si>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</si>
  <si>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</si>
  <si>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</si>
  <si>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</si>
  <si>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</si>
  <si>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</si>
  <si>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</si>
  <si>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</si>
  <si>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H224</t>
  </si>
  <si>
    <t>Revenue</t>
  </si>
  <si>
    <t>Cost of sales</t>
  </si>
  <si>
    <t>Gross profit</t>
  </si>
  <si>
    <t>SG&amp;A</t>
  </si>
  <si>
    <t>Other income</t>
  </si>
  <si>
    <t>Operating profit</t>
  </si>
  <si>
    <t>Finance income</t>
  </si>
  <si>
    <t>Finance expense</t>
  </si>
  <si>
    <t>Other finance expense</t>
  </si>
  <si>
    <t>Total operating expenses</t>
  </si>
  <si>
    <t>Pretax profit</t>
  </si>
  <si>
    <t>Taxes</t>
  </si>
  <si>
    <t>MI</t>
  </si>
  <si>
    <t>Net profit</t>
  </si>
  <si>
    <t>EPS</t>
  </si>
  <si>
    <t>Revenue y/y</t>
  </si>
  <si>
    <t>Gross Margin</t>
  </si>
  <si>
    <t>SG&amp;A y/y</t>
  </si>
  <si>
    <t>Operating Margin</t>
  </si>
  <si>
    <t>Net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</si>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</sst>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1" fillId="0" borderId="0" xfId="0" applyNumberFormat="1" applyFont="1"/>
    <xf numFmtId="2" fontId="0" fillId="0" borderId="0" xfId="0" applyNumberFormat="1"/>
    <xf numFmtId="3" fontId="0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0</xdr:row>
      <xdr:rowOff>0</xdr:rowOff>
    </xdr:from>
    <xdr:to>
      <xdr:col>6</xdr:col>
      <xdr:colOff>22860</xdr:colOff>
      <xdr:row>33</xdr:row>
      <xdr:rowOff>99060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C327B8B-057B-F8C4-4C65-EF73F0220B3E}"/>
            </a:ext>
          </a:extLst>
        </xdr:cNvPr>
        <xdr:cNvCxnSpPr/>
      </xdr:nvCxnSpPr>
      <xdr:spPr>
        <a:xfrm>
          <a:off x="5013960" y="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</xdr:colOff>
      <xdr:row>0</xdr:row>
      <xdr:rowOff>0</xdr:rowOff>
    </xdr:from>
    <xdr:to>
      <xdr:col>15</xdr:col>
      <xdr:colOff>22860</xdr:colOff>
      <xdr:row>33</xdr:row>
      <xdr:rowOff>99060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F7A7ECA-B775-C3BF-9090-FFB630CBB828}"/>
            </a:ext>
          </a:extLst>
        </xdr:cNvPr>
        <xdr:cNvCxnSpPr/>
      </xdr:nvCxnSpPr>
      <xdr:spPr>
        <a:xfrm>
          <a:off x="11414760" y="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BRBY.xlsx" TargetMode="External"/><Relationship Id="rId1" Type="http://schemas.openxmlformats.org/officeDocument/2006/relationships/externalLinkPath" Target="BRB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/>
      <sheetData sheetId="1">
        <row r="3">
          <cell r="S3">
            <v>1116.8</v>
          </cell>
          <cell r="T3">
            <v>1336.2</v>
          </cell>
        </row>
        <row r="4">
          <cell r="S4">
            <v>390.88</v>
          </cell>
          <cell r="T4">
            <v>427.58399999999995</v>
          </cell>
        </row>
        <row r="6">
          <cell r="S6">
            <v>742.84</v>
          </cell>
          <cell r="T6">
            <v>812.16</v>
          </cell>
        </row>
        <row r="7">
          <cell r="S7">
            <v>-3</v>
          </cell>
          <cell r="T7">
            <v>-4</v>
          </cell>
        </row>
        <row r="9">
          <cell r="S9">
            <v>-5</v>
          </cell>
          <cell r="T9">
            <v>-10</v>
          </cell>
        </row>
        <row r="10">
          <cell r="S10">
            <v>30</v>
          </cell>
          <cell r="T10">
            <v>45</v>
          </cell>
        </row>
        <row r="11">
          <cell r="S11">
            <v>0</v>
          </cell>
          <cell r="T11">
            <v>0</v>
          </cell>
        </row>
        <row r="14">
          <cell r="S14">
            <v>15</v>
          </cell>
          <cell r="T14">
            <v>16.364000000000033</v>
          </cell>
        </row>
        <row r="15">
          <cell r="S15">
            <v>1</v>
          </cell>
          <cell r="T1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4212-48E7-40FF-B9CD-DB9DE44F8B85}">
  <dimension ref="B2:G9"/>
  <sheetViews>
    <sheetView workbookViewId="0">
      <selection activeCell="D4" sqref="D4"/>
    </sheetView>
  </sheetViews>
  <sheetFormatPr defaultRowHeight="14.4" x14ac:dyDescent="0.3"/>
  <cols>
    <col min="5" max="7" width="13.33203125" style="5" customWidth="1"/>
  </cols>
  <sheetData>
    <row r="2" spans="2:7" x14ac:dyDescent="0.3">
      <c r="E2" s="5" t="s">
        <v>8</v>
      </c>
      <c r="F2" s="5" t="s">
        <v>9</v>
      </c>
      <c r="G2" s="5" t="s">
        <v>10</v>
      </c>
    </row>
    <row r="3" spans="2:7" x14ac:dyDescent="0.3">
      <c r="B3" s="1" t="s">
        <v>0</v>
      </c>
      <c r="C3" t="s">
        <v>1</v>
      </c>
      <c r="D3" s="3">
        <v>8.048</v>
      </c>
      <c r="E3" s="6">
        <v>45606</v>
      </c>
      <c r="F3" s="6">
        <f ca="1">TODAY()</f>
        <v>45606</v>
      </c>
      <c r="G3" s="6">
        <v>45610</v>
      </c>
    </row>
    <row r="4" spans="2:7" x14ac:dyDescent="0.3">
      <c r="C4" t="s">
        <v>2</v>
      </c>
      <c r="D4">
        <v>365</v>
      </c>
      <c r="E4" s="5" t="s">
        <v>11</v>
      </c>
    </row>
    <row r="5" spans="2:7" x14ac:dyDescent="0.3">
      <c r="C5" t="s">
        <v>3</v>
      </c>
      <c r="D5" s="4">
        <f>D3*D4</f>
        <v>2937.52</v>
      </c>
    </row>
    <row r="6" spans="2:7" x14ac:dyDescent="0.3">
      <c r="C6" t="s">
        <v>4</v>
      </c>
      <c r="D6" s="4">
        <f>441</f>
        <v>441</v>
      </c>
      <c r="E6" s="5" t="s">
        <v>11</v>
      </c>
    </row>
    <row r="7" spans="2:7" x14ac:dyDescent="0.3">
      <c r="C7" t="s">
        <v>5</v>
      </c>
      <c r="D7" s="4">
        <f>79+299</f>
        <v>378</v>
      </c>
      <c r="E7" s="5" t="s">
        <v>11</v>
      </c>
    </row>
    <row r="8" spans="2:7" x14ac:dyDescent="0.3">
      <c r="C8" t="s">
        <v>6</v>
      </c>
      <c r="D8" s="4">
        <f>D6-D7</f>
        <v>63</v>
      </c>
    </row>
    <row r="9" spans="2:7" x14ac:dyDescent="0.3">
      <c r="C9" t="s">
        <v>7</v>
      </c>
      <c r="D9" s="4">
        <f>D5-D8</f>
        <v>2874.52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A667-E368-48E4-8C7F-A4ACADA131F5}">
  <dimension ref="B1:EL2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H25"/>
    </sheetView>
  </sheetViews>
  <sheetFormatPr defaultRowHeight="14.4" x14ac:dyDescent="0.3"/>
  <cols>
    <col min="2" max="2" width="21.6640625" bestFit="1" customWidth="1"/>
    <col min="3" max="8" width="10.5546875" bestFit="1" customWidth="1"/>
    <col min="10" max="26" width="10.5546875" bestFit="1" customWidth="1"/>
    <col min="28" max="28" width="12" bestFit="1" customWidth="1"/>
    <col min="29" max="29" width="11.6640625" customWidth="1"/>
  </cols>
  <sheetData>
    <row r="1" spans="2:142" x14ac:dyDescent="0.3">
      <c r="J1" s="2">
        <v>43554</v>
      </c>
      <c r="K1" s="2">
        <v>43920</v>
      </c>
      <c r="L1" s="2">
        <v>44285</v>
      </c>
      <c r="M1" s="2">
        <v>44650</v>
      </c>
      <c r="N1" s="2">
        <v>45015</v>
      </c>
      <c r="O1" s="2">
        <v>45381</v>
      </c>
      <c r="P1" s="2">
        <v>45746</v>
      </c>
      <c r="Q1" s="2">
        <v>46111</v>
      </c>
      <c r="R1" s="2">
        <v>46476</v>
      </c>
      <c r="S1" s="2">
        <v>46842</v>
      </c>
      <c r="T1" s="2">
        <v>47207</v>
      </c>
      <c r="U1" s="2">
        <v>47572</v>
      </c>
      <c r="V1" s="2">
        <v>47937</v>
      </c>
      <c r="W1" s="2">
        <v>48303</v>
      </c>
      <c r="X1" s="2">
        <v>48668</v>
      </c>
      <c r="Y1" s="2">
        <v>49033</v>
      </c>
      <c r="Z1" s="2">
        <v>49398</v>
      </c>
    </row>
    <row r="2" spans="2:142" x14ac:dyDescent="0.3">
      <c r="J2">
        <v>2019</v>
      </c>
      <c r="K2">
        <v>2020</v>
      </c>
      <c r="L2">
        <v>2021</v>
      </c>
      <c r="M2">
        <v>2022</v>
      </c>
      <c r="N2">
        <v>2023</v>
      </c>
      <c r="O2">
        <v>2024</v>
      </c>
      <c r="P2">
        <v>2025</v>
      </c>
      <c r="Q2">
        <v>2026</v>
      </c>
      <c r="R2">
        <v>2027</v>
      </c>
      <c r="S2">
        <v>2028</v>
      </c>
      <c r="T2">
        <v>2029</v>
      </c>
      <c r="U2">
        <v>2030</v>
      </c>
      <c r="V2">
        <v>2031</v>
      </c>
      <c r="W2">
        <v>2032</v>
      </c>
      <c r="X2">
        <v>2033</v>
      </c>
      <c r="Y2">
        <v>2034</v>
      </c>
      <c r="Z2">
        <v>2035</v>
      </c>
    </row>
    <row r="3" spans="2:142" s="1" customFormat="1" x14ac:dyDescent="0.3">
      <c r="B3" s="1" t="s">
        <v>12</v>
      </c>
      <c r="J3" s="7">
        <v>2720.2</v>
      </c>
      <c r="K3" s="7">
        <v>2633.1</v>
      </c>
      <c r="L3" s="7">
        <v>2344</v>
      </c>
      <c r="M3" s="7">
        <v>2826</v>
      </c>
      <c r="N3" s="7">
        <v>3094</v>
      </c>
      <c r="O3" s="7">
        <v>2968</v>
      </c>
      <c r="P3" s="7">
        <f>SUM([1]Model!S3:T3)</f>
        <v>2453</v>
      </c>
      <c r="Q3" s="7">
        <f>P3*1.02</f>
        <v>2502.06</v>
      </c>
      <c r="R3" s="7">
        <f t="shared" ref="R3:Z3" si="0">Q3*1.01</f>
        <v>2527.0805999999998</v>
      </c>
      <c r="S3" s="7">
        <f t="shared" si="0"/>
        <v>2552.3514059999998</v>
      </c>
      <c r="T3" s="7">
        <f t="shared" si="0"/>
        <v>2577.8749200599996</v>
      </c>
      <c r="U3" s="7">
        <f t="shared" si="0"/>
        <v>2603.6536692605996</v>
      </c>
      <c r="V3" s="7">
        <f t="shared" si="0"/>
        <v>2629.6902059532058</v>
      </c>
      <c r="W3" s="7">
        <f t="shared" si="0"/>
        <v>2655.9871080127377</v>
      </c>
      <c r="X3" s="7">
        <f t="shared" si="0"/>
        <v>2682.5469790928651</v>
      </c>
      <c r="Y3" s="7">
        <f t="shared" si="0"/>
        <v>2709.3724488837938</v>
      </c>
      <c r="Z3" s="7">
        <f t="shared" si="0"/>
        <v>2736.4661733726316</v>
      </c>
    </row>
    <row r="4" spans="2:142" x14ac:dyDescent="0.3">
      <c r="B4" t="s">
        <v>13</v>
      </c>
      <c r="J4" s="4">
        <v>859.4</v>
      </c>
      <c r="K4" s="4">
        <v>927.6</v>
      </c>
      <c r="L4" s="4">
        <v>682</v>
      </c>
      <c r="M4" s="4">
        <v>815</v>
      </c>
      <c r="N4" s="4">
        <v>911</v>
      </c>
      <c r="O4" s="4">
        <v>959</v>
      </c>
      <c r="P4" s="9">
        <f>SUM([1]Model!S4:T4)</f>
        <v>818.46399999999994</v>
      </c>
      <c r="Q4" s="4">
        <f>Q3-Q5</f>
        <v>775.63860000000022</v>
      </c>
      <c r="R4" s="4">
        <f t="shared" ref="R4:Z4" si="1">R3-R5</f>
        <v>758.12418000000002</v>
      </c>
      <c r="S4" s="4">
        <f t="shared" si="1"/>
        <v>765.70542180000007</v>
      </c>
      <c r="T4" s="4">
        <f t="shared" si="1"/>
        <v>773.36247601800005</v>
      </c>
      <c r="U4" s="4">
        <f t="shared" si="1"/>
        <v>781.09610077818002</v>
      </c>
      <c r="V4" s="4">
        <f t="shared" si="1"/>
        <v>788.90706178596179</v>
      </c>
      <c r="W4" s="4">
        <f t="shared" si="1"/>
        <v>796.7961324038215</v>
      </c>
      <c r="X4" s="4">
        <f t="shared" si="1"/>
        <v>804.76409372785974</v>
      </c>
      <c r="Y4" s="4">
        <f t="shared" si="1"/>
        <v>812.81173466513837</v>
      </c>
      <c r="Z4" s="4">
        <f t="shared" si="1"/>
        <v>820.93985201178953</v>
      </c>
    </row>
    <row r="5" spans="2:142" s="1" customFormat="1" x14ac:dyDescent="0.3">
      <c r="B5" s="1" t="s">
        <v>14</v>
      </c>
      <c r="J5" s="7">
        <f>J3-J4</f>
        <v>1860.7999999999997</v>
      </c>
      <c r="K5" s="7">
        <f>K3-K4</f>
        <v>1705.5</v>
      </c>
      <c r="L5" s="7">
        <f>L3-L4</f>
        <v>1662</v>
      </c>
      <c r="M5" s="7">
        <f>M3-M4</f>
        <v>2011</v>
      </c>
      <c r="N5" s="7">
        <f>N3-N4</f>
        <v>2183</v>
      </c>
      <c r="O5" s="7">
        <f>O3-O4</f>
        <v>2009</v>
      </c>
      <c r="P5" s="7">
        <f>P3-P4</f>
        <v>1634.5360000000001</v>
      </c>
      <c r="Q5" s="7">
        <f>Q3*0.69</f>
        <v>1726.4213999999997</v>
      </c>
      <c r="R5" s="7">
        <f>R3*0.7</f>
        <v>1768.9564199999998</v>
      </c>
      <c r="S5" s="7">
        <f t="shared" ref="S5:Z5" si="2">S3*0.7</f>
        <v>1786.6459841999997</v>
      </c>
      <c r="T5" s="7">
        <f t="shared" si="2"/>
        <v>1804.5124440419995</v>
      </c>
      <c r="U5" s="7">
        <f t="shared" si="2"/>
        <v>1822.5575684824196</v>
      </c>
      <c r="V5" s="7">
        <f t="shared" si="2"/>
        <v>1840.783144167244</v>
      </c>
      <c r="W5" s="7">
        <f t="shared" si="2"/>
        <v>1859.1909756089162</v>
      </c>
      <c r="X5" s="7">
        <f t="shared" si="2"/>
        <v>1877.7828853650053</v>
      </c>
      <c r="Y5" s="7">
        <f t="shared" si="2"/>
        <v>1896.5607142186554</v>
      </c>
      <c r="Z5" s="7">
        <f t="shared" si="2"/>
        <v>1915.5263213608421</v>
      </c>
    </row>
    <row r="6" spans="2:142" x14ac:dyDescent="0.3">
      <c r="B6" t="s">
        <v>15</v>
      </c>
      <c r="J6" s="4">
        <v>1423.6</v>
      </c>
      <c r="K6" s="4">
        <v>1516.8</v>
      </c>
      <c r="L6" s="4">
        <v>1141</v>
      </c>
      <c r="M6" s="4">
        <v>1468</v>
      </c>
      <c r="N6" s="4">
        <v>1572</v>
      </c>
      <c r="O6" s="4">
        <v>1604</v>
      </c>
      <c r="P6" s="9">
        <f>SUM([1]Model!S6:T6)</f>
        <v>1555</v>
      </c>
      <c r="Q6" s="4">
        <f>P6*0.99</f>
        <v>1539.45</v>
      </c>
      <c r="R6" s="4">
        <f>Q6*1.01</f>
        <v>1554.8445000000002</v>
      </c>
      <c r="S6" s="4">
        <f t="shared" ref="S6:Z6" si="3">R6*1.01</f>
        <v>1570.3929450000003</v>
      </c>
      <c r="T6" s="4">
        <f t="shared" si="3"/>
        <v>1586.0968744500003</v>
      </c>
      <c r="U6" s="4">
        <f t="shared" si="3"/>
        <v>1601.9578431945004</v>
      </c>
      <c r="V6" s="4">
        <f t="shared" si="3"/>
        <v>1617.9774216264454</v>
      </c>
      <c r="W6" s="4">
        <f t="shared" si="3"/>
        <v>1634.1571958427098</v>
      </c>
      <c r="X6" s="4">
        <f t="shared" si="3"/>
        <v>1650.4987678011369</v>
      </c>
      <c r="Y6" s="4">
        <f t="shared" si="3"/>
        <v>1667.0037554791481</v>
      </c>
      <c r="Z6" s="4">
        <f t="shared" si="3"/>
        <v>1683.6737930339395</v>
      </c>
    </row>
    <row r="7" spans="2:142" x14ac:dyDescent="0.3">
      <c r="B7" t="s">
        <v>16</v>
      </c>
      <c r="J7" s="4"/>
      <c r="K7" s="4"/>
      <c r="L7" s="4"/>
      <c r="M7" s="4"/>
      <c r="N7" s="4">
        <v>-46</v>
      </c>
      <c r="O7" s="4">
        <v>-13</v>
      </c>
      <c r="P7" s="9">
        <f>SUM([1]Model!S7:T7)</f>
        <v>-7</v>
      </c>
      <c r="Q7" s="4">
        <f>P7*1.02</f>
        <v>-7.1400000000000006</v>
      </c>
      <c r="R7" s="4">
        <f t="shared" ref="R7:Z7" si="4">Q7*1.02</f>
        <v>-7.2828000000000008</v>
      </c>
      <c r="S7" s="4">
        <f t="shared" si="4"/>
        <v>-7.4284560000000006</v>
      </c>
      <c r="T7" s="4">
        <f t="shared" si="4"/>
        <v>-7.5770251200000009</v>
      </c>
      <c r="U7" s="4">
        <f t="shared" si="4"/>
        <v>-7.7285656224000014</v>
      </c>
      <c r="V7" s="4">
        <f t="shared" si="4"/>
        <v>-7.883136934848002</v>
      </c>
      <c r="W7" s="4">
        <f t="shared" si="4"/>
        <v>-8.0407996735449618</v>
      </c>
      <c r="X7" s="4">
        <f t="shared" si="4"/>
        <v>-8.2016156670158615</v>
      </c>
      <c r="Y7" s="4">
        <f t="shared" si="4"/>
        <v>-8.3656479803561794</v>
      </c>
      <c r="Z7" s="4">
        <f t="shared" si="4"/>
        <v>-8.5329609399633028</v>
      </c>
    </row>
    <row r="8" spans="2:142" s="1" customFormat="1" x14ac:dyDescent="0.3">
      <c r="B8" s="1" t="s">
        <v>17</v>
      </c>
      <c r="J8" s="7">
        <f>J5-J6-J7</f>
        <v>437.19999999999982</v>
      </c>
      <c r="K8" s="7">
        <f>K5-K6-K7</f>
        <v>188.70000000000005</v>
      </c>
      <c r="L8" s="7">
        <f>L5-L6-L7</f>
        <v>521</v>
      </c>
      <c r="M8" s="7">
        <f>M5-M6-M7</f>
        <v>543</v>
      </c>
      <c r="N8" s="7">
        <f>N5-N6-N7</f>
        <v>657</v>
      </c>
      <c r="O8" s="7">
        <f>O5-O6-O7</f>
        <v>418</v>
      </c>
      <c r="P8" s="7">
        <f>P5-P6-P7</f>
        <v>86.536000000000058</v>
      </c>
      <c r="Q8" s="7">
        <f t="shared" ref="Q8:Z8" si="5">Q5-Q6-Q7</f>
        <v>194.11139999999966</v>
      </c>
      <c r="R8" s="7">
        <f t="shared" si="5"/>
        <v>221.39471999999961</v>
      </c>
      <c r="S8" s="7">
        <f t="shared" si="5"/>
        <v>223.68149519999943</v>
      </c>
      <c r="T8" s="7">
        <f t="shared" si="5"/>
        <v>225.9925947119992</v>
      </c>
      <c r="U8" s="7">
        <f t="shared" si="5"/>
        <v>228.32829091031923</v>
      </c>
      <c r="V8" s="7">
        <f t="shared" si="5"/>
        <v>230.68885947564658</v>
      </c>
      <c r="W8" s="7">
        <f t="shared" si="5"/>
        <v>233.07457943975137</v>
      </c>
      <c r="X8" s="7">
        <f t="shared" si="5"/>
        <v>235.48573323088431</v>
      </c>
      <c r="Y8" s="7">
        <f t="shared" si="5"/>
        <v>237.9226067198635</v>
      </c>
      <c r="Z8" s="7">
        <f t="shared" si="5"/>
        <v>240.38548926686582</v>
      </c>
    </row>
    <row r="9" spans="2:142" x14ac:dyDescent="0.3">
      <c r="B9" t="s">
        <v>18</v>
      </c>
      <c r="J9" s="4">
        <v>-8.6999999999999993</v>
      </c>
      <c r="K9" s="4">
        <v>-7.6</v>
      </c>
      <c r="L9" s="4">
        <v>-3</v>
      </c>
      <c r="M9" s="4">
        <v>-3</v>
      </c>
      <c r="N9" s="4">
        <v>-21</v>
      </c>
      <c r="O9" s="4">
        <v>-31</v>
      </c>
      <c r="P9" s="9">
        <f>SUM([1]Model!S9:T9)</f>
        <v>-15</v>
      </c>
      <c r="Q9" s="4">
        <f>P9*1.02</f>
        <v>-15.3</v>
      </c>
      <c r="R9" s="4">
        <f t="shared" ref="R9:Z9" si="6">Q9*1.02</f>
        <v>-15.606000000000002</v>
      </c>
      <c r="S9" s="4">
        <f t="shared" si="6"/>
        <v>-15.918120000000002</v>
      </c>
      <c r="T9" s="4">
        <f t="shared" si="6"/>
        <v>-16.236482400000003</v>
      </c>
      <c r="U9" s="4">
        <f t="shared" si="6"/>
        <v>-16.561212048000005</v>
      </c>
      <c r="V9" s="4">
        <f t="shared" si="6"/>
        <v>-16.892436288960006</v>
      </c>
      <c r="W9" s="4">
        <f t="shared" si="6"/>
        <v>-17.230285014739206</v>
      </c>
      <c r="X9" s="4">
        <f t="shared" si="6"/>
        <v>-17.574890715033991</v>
      </c>
      <c r="Y9" s="4">
        <f t="shared" si="6"/>
        <v>-17.92638852933467</v>
      </c>
      <c r="Z9" s="4">
        <f t="shared" si="6"/>
        <v>-18.284916299921363</v>
      </c>
    </row>
    <row r="10" spans="2:142" x14ac:dyDescent="0.3">
      <c r="B10" t="s">
        <v>19</v>
      </c>
      <c r="J10" s="4">
        <v>3.6</v>
      </c>
      <c r="K10" s="4">
        <v>26.6</v>
      </c>
      <c r="L10" s="4">
        <v>33</v>
      </c>
      <c r="M10" s="4">
        <v>24</v>
      </c>
      <c r="N10" s="4">
        <v>42</v>
      </c>
      <c r="O10" s="4">
        <v>66</v>
      </c>
      <c r="P10" s="9">
        <f>SUM([1]Model!S10:T10)</f>
        <v>75</v>
      </c>
      <c r="Q10" s="4">
        <f>P10*1.02</f>
        <v>76.5</v>
      </c>
      <c r="R10" s="4">
        <f t="shared" ref="R10:Z10" si="7">Q10*1.02</f>
        <v>78.03</v>
      </c>
      <c r="S10" s="4">
        <f t="shared" si="7"/>
        <v>79.590600000000009</v>
      </c>
      <c r="T10" s="4">
        <f t="shared" si="7"/>
        <v>81.182412000000014</v>
      </c>
      <c r="U10" s="4">
        <f t="shared" si="7"/>
        <v>82.806060240000022</v>
      </c>
      <c r="V10" s="4">
        <f t="shared" si="7"/>
        <v>84.462181444800024</v>
      </c>
      <c r="W10" s="4">
        <f t="shared" si="7"/>
        <v>86.151425073696032</v>
      </c>
      <c r="X10" s="4">
        <f t="shared" si="7"/>
        <v>87.874453575169952</v>
      </c>
      <c r="Y10" s="4">
        <f t="shared" si="7"/>
        <v>89.631942646673352</v>
      </c>
      <c r="Z10" s="4">
        <f t="shared" si="7"/>
        <v>91.424581499606816</v>
      </c>
    </row>
    <row r="11" spans="2:142" x14ac:dyDescent="0.3">
      <c r="B11" t="s">
        <v>20</v>
      </c>
      <c r="J11" s="4">
        <v>1.7</v>
      </c>
      <c r="K11" s="4">
        <v>1.2</v>
      </c>
      <c r="L11" s="4">
        <v>1</v>
      </c>
      <c r="M11" s="4">
        <v>1</v>
      </c>
      <c r="N11" s="4">
        <v>2</v>
      </c>
      <c r="O11" s="4">
        <v>0</v>
      </c>
      <c r="P11" s="9">
        <f>SUM([1]Model!S11:T11)</f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</row>
    <row r="12" spans="2:142" x14ac:dyDescent="0.3">
      <c r="B12" t="s">
        <v>21</v>
      </c>
      <c r="J12" s="4">
        <f>SUM(J9:J11)</f>
        <v>-3.3999999999999995</v>
      </c>
      <c r="K12" s="4">
        <f>SUM(K9:K11)</f>
        <v>20.2</v>
      </c>
      <c r="L12" s="4">
        <f>SUM(L9:L11)</f>
        <v>31</v>
      </c>
      <c r="M12" s="4">
        <f>SUM(M9:M11)</f>
        <v>22</v>
      </c>
      <c r="N12" s="4">
        <f>SUM(N9:N11)</f>
        <v>23</v>
      </c>
      <c r="O12" s="4">
        <f>SUM(O9:O11)</f>
        <v>35</v>
      </c>
      <c r="P12" s="4">
        <f>SUM(P9:P11)</f>
        <v>60</v>
      </c>
      <c r="Q12" s="4">
        <f>SUM(Q9:Q11)</f>
        <v>61.2</v>
      </c>
      <c r="R12" s="4">
        <f t="shared" ref="R12:Z12" si="8">SUM(R9:R11)</f>
        <v>62.423999999999999</v>
      </c>
      <c r="S12" s="4">
        <f t="shared" si="8"/>
        <v>63.672480000000007</v>
      </c>
      <c r="T12" s="4">
        <f t="shared" si="8"/>
        <v>64.945929600000014</v>
      </c>
      <c r="U12" s="4">
        <f t="shared" si="8"/>
        <v>66.244848192000021</v>
      </c>
      <c r="V12" s="4">
        <f t="shared" si="8"/>
        <v>67.569745155840025</v>
      </c>
      <c r="W12" s="4">
        <f t="shared" si="8"/>
        <v>68.921140058956823</v>
      </c>
      <c r="X12" s="4">
        <f t="shared" si="8"/>
        <v>70.299562860135964</v>
      </c>
      <c r="Y12" s="4">
        <f t="shared" si="8"/>
        <v>71.705554117338679</v>
      </c>
      <c r="Z12" s="4">
        <f t="shared" si="8"/>
        <v>73.139665199685453</v>
      </c>
    </row>
    <row r="13" spans="2:142" s="1" customFormat="1" x14ac:dyDescent="0.3">
      <c r="B13" s="1" t="s">
        <v>22</v>
      </c>
      <c r="J13" s="7">
        <f>J8-J12</f>
        <v>440.5999999999998</v>
      </c>
      <c r="K13" s="7">
        <f>K8-K12</f>
        <v>168.50000000000006</v>
      </c>
      <c r="L13" s="7">
        <f>L8-L12</f>
        <v>490</v>
      </c>
      <c r="M13" s="7">
        <f>M8-M12</f>
        <v>521</v>
      </c>
      <c r="N13" s="7">
        <f>N8-N12</f>
        <v>634</v>
      </c>
      <c r="O13" s="7">
        <f>O8-O12</f>
        <v>383</v>
      </c>
      <c r="P13" s="7">
        <f>P8-P12</f>
        <v>26.536000000000058</v>
      </c>
      <c r="Q13" s="7">
        <f>Q8-Q12</f>
        <v>132.91139999999967</v>
      </c>
      <c r="R13" s="7">
        <f t="shared" ref="R13:Z13" si="9">R8-R12</f>
        <v>158.9707199999996</v>
      </c>
      <c r="S13" s="7">
        <f t="shared" si="9"/>
        <v>160.00901519999942</v>
      </c>
      <c r="T13" s="7">
        <f t="shared" si="9"/>
        <v>161.04666511199918</v>
      </c>
      <c r="U13" s="7">
        <f t="shared" si="9"/>
        <v>162.08344271831919</v>
      </c>
      <c r="V13" s="7">
        <f t="shared" si="9"/>
        <v>163.11911431980656</v>
      </c>
      <c r="W13" s="7">
        <f t="shared" si="9"/>
        <v>164.15343938079457</v>
      </c>
      <c r="X13" s="7">
        <f t="shared" si="9"/>
        <v>165.18617037074836</v>
      </c>
      <c r="Y13" s="7">
        <f t="shared" si="9"/>
        <v>166.2170526025248</v>
      </c>
      <c r="Z13" s="7">
        <f t="shared" si="9"/>
        <v>167.24582406718037</v>
      </c>
    </row>
    <row r="14" spans="2:142" x14ac:dyDescent="0.3">
      <c r="B14" t="s">
        <v>23</v>
      </c>
      <c r="J14" s="4">
        <v>101.5</v>
      </c>
      <c r="K14" s="4">
        <v>46.9</v>
      </c>
      <c r="L14" s="4">
        <v>114</v>
      </c>
      <c r="M14" s="4">
        <v>114</v>
      </c>
      <c r="N14" s="4">
        <v>142</v>
      </c>
      <c r="O14" s="4">
        <v>112</v>
      </c>
      <c r="P14" s="9">
        <f>SUM([1]Model!S14:T14)</f>
        <v>31.364000000000033</v>
      </c>
      <c r="Q14" s="4">
        <f>Q13*0.24</f>
        <v>31.898735999999921</v>
      </c>
      <c r="R14" s="4">
        <f t="shared" ref="R14:Z14" si="10">R13*0.24</f>
        <v>38.152972799999901</v>
      </c>
      <c r="S14" s="4">
        <f t="shared" si="10"/>
        <v>38.402163647999863</v>
      </c>
      <c r="T14" s="4">
        <f t="shared" si="10"/>
        <v>38.651199626879801</v>
      </c>
      <c r="U14" s="4">
        <f t="shared" si="10"/>
        <v>38.900026252396607</v>
      </c>
      <c r="V14" s="4">
        <f t="shared" si="10"/>
        <v>39.148587436753573</v>
      </c>
      <c r="W14" s="4">
        <f t="shared" si="10"/>
        <v>39.396825451390697</v>
      </c>
      <c r="X14" s="4">
        <f t="shared" si="10"/>
        <v>39.644680888979607</v>
      </c>
      <c r="Y14" s="4">
        <f t="shared" si="10"/>
        <v>39.892092624605951</v>
      </c>
      <c r="Z14" s="4">
        <f t="shared" si="10"/>
        <v>40.138997776123283</v>
      </c>
    </row>
    <row r="15" spans="2:142" x14ac:dyDescent="0.3">
      <c r="B15" t="s">
        <v>24</v>
      </c>
      <c r="J15" s="4">
        <v>-0.2</v>
      </c>
      <c r="K15" s="4">
        <v>-0.1</v>
      </c>
      <c r="L15" s="4">
        <v>0</v>
      </c>
      <c r="M15" s="4">
        <v>1</v>
      </c>
      <c r="N15" s="4">
        <v>2</v>
      </c>
      <c r="O15" s="4">
        <v>1</v>
      </c>
      <c r="P15" s="9">
        <f>SUM([1]Model!S15:T15)</f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</row>
    <row r="16" spans="2:142" s="1" customFormat="1" x14ac:dyDescent="0.3">
      <c r="B16" s="1" t="s">
        <v>25</v>
      </c>
      <c r="J16" s="7">
        <f>J13-J14-J15</f>
        <v>339.29999999999978</v>
      </c>
      <c r="K16" s="7">
        <f>K13-K14-K15</f>
        <v>121.70000000000005</v>
      </c>
      <c r="L16" s="7">
        <f>L13-L14-L15</f>
        <v>376</v>
      </c>
      <c r="M16" s="7">
        <f>M13-M14-M15</f>
        <v>406</v>
      </c>
      <c r="N16" s="7">
        <f>N13-N14-N15</f>
        <v>490</v>
      </c>
      <c r="O16" s="7">
        <f>O13-O14-O15</f>
        <v>270</v>
      </c>
      <c r="P16" s="7">
        <f>P13-P14-P15</f>
        <v>-6.8279999999999745</v>
      </c>
      <c r="Q16" s="7">
        <f>Q13-Q14-Q15</f>
        <v>99.012663999999745</v>
      </c>
      <c r="R16" s="7">
        <f t="shared" ref="R16:Z16" si="11">R13-R14-R15</f>
        <v>118.8177471999997</v>
      </c>
      <c r="S16" s="7">
        <f t="shared" si="11"/>
        <v>119.60685155199957</v>
      </c>
      <c r="T16" s="7">
        <f t="shared" si="11"/>
        <v>120.39546548511937</v>
      </c>
      <c r="U16" s="7">
        <f t="shared" si="11"/>
        <v>121.18341646592259</v>
      </c>
      <c r="V16" s="7">
        <f t="shared" si="11"/>
        <v>121.97052688305298</v>
      </c>
      <c r="W16" s="7">
        <f t="shared" si="11"/>
        <v>122.75661392940387</v>
      </c>
      <c r="X16" s="7">
        <f t="shared" si="11"/>
        <v>123.54148948176875</v>
      </c>
      <c r="Y16" s="7">
        <f t="shared" si="11"/>
        <v>124.32495997791885</v>
      </c>
      <c r="Z16" s="7">
        <f t="shared" si="11"/>
        <v>125.10682629105708</v>
      </c>
      <c r="AA16" s="1">
        <f>Z16*(1+$AC$21)</f>
        <v>123.8557580281465</v>
      </c>
      <c r="AB16" s="1">
        <f t="shared" ref="AB16:CM16" si="12">AA16*(1+$AC$21)</f>
        <v>122.61720044786503</v>
      </c>
      <c r="AC16" s="1">
        <f t="shared" si="12"/>
        <v>121.39102844338638</v>
      </c>
      <c r="AD16" s="1">
        <f t="shared" si="12"/>
        <v>120.17711815895251</v>
      </c>
      <c r="AE16" s="1">
        <f t="shared" si="12"/>
        <v>118.97534697736299</v>
      </c>
      <c r="AF16" s="1">
        <f t="shared" si="12"/>
        <v>117.78559350758935</v>
      </c>
      <c r="AG16" s="1">
        <f t="shared" si="12"/>
        <v>116.60773757251346</v>
      </c>
      <c r="AH16" s="1">
        <f t="shared" si="12"/>
        <v>115.44166019678832</v>
      </c>
      <c r="AI16" s="1">
        <f t="shared" si="12"/>
        <v>114.28724359482044</v>
      </c>
      <c r="AJ16" s="1">
        <f t="shared" si="12"/>
        <v>113.14437115887223</v>
      </c>
      <c r="AK16" s="1">
        <f t="shared" si="12"/>
        <v>112.0129274472835</v>
      </c>
      <c r="AL16" s="1">
        <f t="shared" si="12"/>
        <v>110.89279817281067</v>
      </c>
      <c r="AM16" s="1">
        <f t="shared" si="12"/>
        <v>109.78387019108257</v>
      </c>
      <c r="AN16" s="1">
        <f t="shared" si="12"/>
        <v>108.68603148917174</v>
      </c>
      <c r="AO16" s="1">
        <f t="shared" si="12"/>
        <v>107.59917117428002</v>
      </c>
      <c r="AP16" s="1">
        <f t="shared" si="12"/>
        <v>106.52317946253721</v>
      </c>
      <c r="AQ16" s="1">
        <f t="shared" si="12"/>
        <v>105.45794766791184</v>
      </c>
      <c r="AR16" s="1">
        <f t="shared" si="12"/>
        <v>104.40336819123272</v>
      </c>
      <c r="AS16" s="1">
        <f t="shared" si="12"/>
        <v>103.35933450932039</v>
      </c>
      <c r="AT16" s="1">
        <f t="shared" si="12"/>
        <v>102.32574116422718</v>
      </c>
      <c r="AU16" s="1">
        <f t="shared" si="12"/>
        <v>101.30248375258491</v>
      </c>
      <c r="AV16" s="1">
        <f t="shared" si="12"/>
        <v>100.28945891505906</v>
      </c>
      <c r="AW16" s="1">
        <f t="shared" si="12"/>
        <v>99.286564325908472</v>
      </c>
      <c r="AX16" s="1">
        <f t="shared" si="12"/>
        <v>98.293698682649392</v>
      </c>
      <c r="AY16" s="1">
        <f t="shared" si="12"/>
        <v>97.31076169582289</v>
      </c>
      <c r="AZ16" s="1">
        <f t="shared" si="12"/>
        <v>96.337654078864659</v>
      </c>
      <c r="BA16" s="1">
        <f t="shared" si="12"/>
        <v>95.374277538076015</v>
      </c>
      <c r="BB16" s="1">
        <f t="shared" si="12"/>
        <v>94.420534762695254</v>
      </c>
      <c r="BC16" s="1">
        <f t="shared" si="12"/>
        <v>93.476329415068307</v>
      </c>
      <c r="BD16" s="1">
        <f t="shared" si="12"/>
        <v>92.541566120917622</v>
      </c>
      <c r="BE16" s="1">
        <f t="shared" si="12"/>
        <v>91.61615045970845</v>
      </c>
      <c r="BF16" s="1">
        <f t="shared" si="12"/>
        <v>90.699988955111365</v>
      </c>
      <c r="BG16" s="1">
        <f t="shared" si="12"/>
        <v>89.792989065560249</v>
      </c>
      <c r="BH16" s="1">
        <f t="shared" si="12"/>
        <v>88.895059174904645</v>
      </c>
      <c r="BI16" s="1">
        <f t="shared" si="12"/>
        <v>88.006108583155594</v>
      </c>
      <c r="BJ16" s="1">
        <f t="shared" si="12"/>
        <v>87.126047497324038</v>
      </c>
      <c r="BK16" s="1">
        <f t="shared" si="12"/>
        <v>86.254787022350797</v>
      </c>
      <c r="BL16" s="1">
        <f t="shared" si="12"/>
        <v>85.392239152127289</v>
      </c>
      <c r="BM16" s="1">
        <f t="shared" si="12"/>
        <v>84.538316760606008</v>
      </c>
      <c r="BN16" s="1">
        <f t="shared" si="12"/>
        <v>83.69293359299995</v>
      </c>
      <c r="BO16" s="1">
        <f t="shared" si="12"/>
        <v>82.856004257069955</v>
      </c>
      <c r="BP16" s="1">
        <f t="shared" si="12"/>
        <v>82.027444214499255</v>
      </c>
      <c r="BQ16" s="1">
        <f t="shared" si="12"/>
        <v>81.207169772354263</v>
      </c>
      <c r="BR16" s="1">
        <f t="shared" si="12"/>
        <v>80.395098074630724</v>
      </c>
      <c r="BS16" s="1">
        <f t="shared" si="12"/>
        <v>79.591147093884416</v>
      </c>
      <c r="BT16" s="1">
        <f t="shared" si="12"/>
        <v>78.795235622945569</v>
      </c>
      <c r="BU16" s="1">
        <f t="shared" si="12"/>
        <v>78.007283266716115</v>
      </c>
      <c r="BV16" s="1">
        <f t="shared" si="12"/>
        <v>77.227210434048956</v>
      </c>
      <c r="BW16" s="1">
        <f t="shared" si="12"/>
        <v>76.454938329708469</v>
      </c>
      <c r="BX16" s="1">
        <f t="shared" si="12"/>
        <v>75.690388946411389</v>
      </c>
      <c r="BY16" s="1">
        <f t="shared" si="12"/>
        <v>74.933485056947276</v>
      </c>
      <c r="BZ16" s="1">
        <f t="shared" si="12"/>
        <v>74.184150206377808</v>
      </c>
      <c r="CA16" s="1">
        <f t="shared" si="12"/>
        <v>73.44230870431403</v>
      </c>
      <c r="CB16" s="1">
        <f t="shared" si="12"/>
        <v>72.70788561727089</v>
      </c>
      <c r="CC16" s="1">
        <f t="shared" si="12"/>
        <v>71.980806761098179</v>
      </c>
      <c r="CD16" s="1">
        <f t="shared" si="12"/>
        <v>71.260998693487196</v>
      </c>
      <c r="CE16" s="1">
        <f t="shared" si="12"/>
        <v>70.548388706552316</v>
      </c>
      <c r="CF16" s="1">
        <f t="shared" si="12"/>
        <v>69.84290481948679</v>
      </c>
      <c r="CG16" s="1">
        <f t="shared" si="12"/>
        <v>69.144475771291923</v>
      </c>
      <c r="CH16" s="1">
        <f t="shared" si="12"/>
        <v>68.453031013579007</v>
      </c>
      <c r="CI16" s="1">
        <f t="shared" si="12"/>
        <v>67.768500703443223</v>
      </c>
      <c r="CJ16" s="1">
        <f t="shared" si="12"/>
        <v>67.090815696408796</v>
      </c>
      <c r="CK16" s="1">
        <f t="shared" si="12"/>
        <v>66.419907539444708</v>
      </c>
      <c r="CL16" s="1">
        <f t="shared" si="12"/>
        <v>65.755708464050258</v>
      </c>
      <c r="CM16" s="1">
        <f t="shared" si="12"/>
        <v>65.098151379409757</v>
      </c>
      <c r="CN16" s="1">
        <f t="shared" ref="CN16:EL16" si="13">CM16*(1+$AC$21)</f>
        <v>64.447169865615663</v>
      </c>
      <c r="CO16" s="1">
        <f t="shared" si="13"/>
        <v>63.802698166959509</v>
      </c>
      <c r="CP16" s="1">
        <f t="shared" si="13"/>
        <v>63.164671185289912</v>
      </c>
      <c r="CQ16" s="1">
        <f t="shared" si="13"/>
        <v>62.53302447343701</v>
      </c>
      <c r="CR16" s="1">
        <f t="shared" si="13"/>
        <v>61.907694228702638</v>
      </c>
      <c r="CS16" s="1">
        <f t="shared" si="13"/>
        <v>61.288617286415608</v>
      </c>
      <c r="CT16" s="1">
        <f t="shared" si="13"/>
        <v>60.67573111355145</v>
      </c>
      <c r="CU16" s="1">
        <f t="shared" si="13"/>
        <v>60.068973802415933</v>
      </c>
      <c r="CV16" s="1">
        <f t="shared" si="13"/>
        <v>59.468284064391774</v>
      </c>
      <c r="CW16" s="1">
        <f t="shared" si="13"/>
        <v>58.873601223747855</v>
      </c>
      <c r="CX16" s="1">
        <f t="shared" si="13"/>
        <v>58.284865211510379</v>
      </c>
      <c r="CY16" s="1">
        <f t="shared" si="13"/>
        <v>57.702016559395275</v>
      </c>
      <c r="CZ16" s="1">
        <f t="shared" si="13"/>
        <v>57.124996393801325</v>
      </c>
      <c r="DA16" s="1">
        <f t="shared" si="13"/>
        <v>56.55374642986331</v>
      </c>
      <c r="DB16" s="1">
        <f t="shared" si="13"/>
        <v>55.988208965564674</v>
      </c>
      <c r="DC16" s="1">
        <f t="shared" si="13"/>
        <v>55.428326875909029</v>
      </c>
      <c r="DD16" s="1">
        <f t="shared" si="13"/>
        <v>54.874043607149936</v>
      </c>
      <c r="DE16" s="1">
        <f t="shared" si="13"/>
        <v>54.325303171078438</v>
      </c>
      <c r="DF16" s="1">
        <f t="shared" si="13"/>
        <v>53.782050139367655</v>
      </c>
      <c r="DG16" s="1">
        <f t="shared" si="13"/>
        <v>53.24422963797398</v>
      </c>
      <c r="DH16" s="1">
        <f t="shared" si="13"/>
        <v>52.711787341594238</v>
      </c>
      <c r="DI16" s="1">
        <f t="shared" si="13"/>
        <v>52.184669468178292</v>
      </c>
      <c r="DJ16" s="1">
        <f t="shared" si="13"/>
        <v>51.662822773496508</v>
      </c>
      <c r="DK16" s="1">
        <f t="shared" si="13"/>
        <v>51.146194545761546</v>
      </c>
      <c r="DL16" s="1">
        <f t="shared" si="13"/>
        <v>50.634732600303927</v>
      </c>
      <c r="DM16" s="1">
        <f t="shared" si="13"/>
        <v>50.128385274300889</v>
      </c>
      <c r="DN16" s="1">
        <f t="shared" si="13"/>
        <v>49.627101421557882</v>
      </c>
      <c r="DO16" s="1">
        <f t="shared" si="13"/>
        <v>49.130830407342302</v>
      </c>
      <c r="DP16" s="1">
        <f t="shared" si="13"/>
        <v>48.639522103268881</v>
      </c>
      <c r="DQ16" s="1">
        <f t="shared" si="13"/>
        <v>48.153126882236194</v>
      </c>
      <c r="DR16" s="1">
        <f t="shared" si="13"/>
        <v>47.671595613413828</v>
      </c>
      <c r="DS16" s="1">
        <f t="shared" si="13"/>
        <v>47.194879657279692</v>
      </c>
      <c r="DT16" s="1">
        <f t="shared" si="13"/>
        <v>46.722930860706896</v>
      </c>
      <c r="DU16" s="1">
        <f t="shared" si="13"/>
        <v>46.255701552099829</v>
      </c>
      <c r="DV16" s="1">
        <f t="shared" si="13"/>
        <v>45.793144536578829</v>
      </c>
      <c r="DW16" s="1">
        <f t="shared" si="13"/>
        <v>45.335213091213042</v>
      </c>
      <c r="DX16" s="1">
        <f t="shared" si="13"/>
        <v>44.881860960300912</v>
      </c>
      <c r="DY16" s="1">
        <f t="shared" si="13"/>
        <v>44.433042350697903</v>
      </c>
      <c r="DZ16" s="1">
        <f t="shared" si="13"/>
        <v>43.988711927190927</v>
      </c>
      <c r="EA16" s="1">
        <f t="shared" si="13"/>
        <v>43.548824807919019</v>
      </c>
      <c r="EB16" s="1">
        <f t="shared" si="13"/>
        <v>43.11333655983983</v>
      </c>
      <c r="EC16" s="1">
        <f t="shared" si="13"/>
        <v>42.682203194241431</v>
      </c>
      <c r="ED16" s="1">
        <f t="shared" si="13"/>
        <v>42.255381162299017</v>
      </c>
      <c r="EE16" s="1">
        <f t="shared" si="13"/>
        <v>41.832827350676027</v>
      </c>
      <c r="EF16" s="1">
        <f t="shared" si="13"/>
        <v>41.414499077169268</v>
      </c>
      <c r="EG16" s="1">
        <f t="shared" si="13"/>
        <v>41.000354086397572</v>
      </c>
      <c r="EH16" s="1">
        <f t="shared" si="13"/>
        <v>40.590350545533596</v>
      </c>
      <c r="EI16" s="1">
        <f t="shared" si="13"/>
        <v>40.184447040078261</v>
      </c>
      <c r="EJ16" s="1">
        <f t="shared" si="13"/>
        <v>39.782602569677479</v>
      </c>
      <c r="EK16" s="1">
        <f t="shared" si="13"/>
        <v>39.384776543980706</v>
      </c>
      <c r="EL16" s="1">
        <f t="shared" si="13"/>
        <v>38.990928778540898</v>
      </c>
    </row>
    <row r="17" spans="2:29" x14ac:dyDescent="0.3">
      <c r="B17" t="s">
        <v>2</v>
      </c>
      <c r="J17">
        <v>365</v>
      </c>
      <c r="K17">
        <v>365</v>
      </c>
      <c r="L17">
        <v>365</v>
      </c>
      <c r="M17">
        <v>365</v>
      </c>
      <c r="N17">
        <v>365</v>
      </c>
      <c r="O17">
        <v>365</v>
      </c>
      <c r="P17">
        <v>365</v>
      </c>
      <c r="Q17">
        <v>365</v>
      </c>
      <c r="R17">
        <v>365</v>
      </c>
      <c r="S17">
        <v>365</v>
      </c>
      <c r="T17">
        <v>365</v>
      </c>
      <c r="U17">
        <v>365</v>
      </c>
      <c r="V17">
        <v>365</v>
      </c>
      <c r="W17">
        <v>365</v>
      </c>
      <c r="X17">
        <v>365</v>
      </c>
      <c r="Y17">
        <v>365</v>
      </c>
      <c r="Z17">
        <v>365</v>
      </c>
    </row>
    <row r="18" spans="2:29" x14ac:dyDescent="0.3">
      <c r="B18" t="s">
        <v>26</v>
      </c>
      <c r="J18" s="8">
        <f>J16/J17</f>
        <v>0.9295890410958898</v>
      </c>
      <c r="K18" s="8">
        <f>K16/K17</f>
        <v>0.33342465753424672</v>
      </c>
      <c r="L18" s="8">
        <f>L16/L17</f>
        <v>1.0301369863013699</v>
      </c>
      <c r="M18" s="8">
        <f>M16/M17</f>
        <v>1.1123287671232878</v>
      </c>
      <c r="N18" s="8">
        <f>N16/N17</f>
        <v>1.3424657534246576</v>
      </c>
      <c r="O18" s="8">
        <f>O16/O17</f>
        <v>0.73972602739726023</v>
      </c>
      <c r="P18" s="8">
        <f>P16/P17</f>
        <v>-1.8706849315068424E-2</v>
      </c>
      <c r="Q18" s="8">
        <f>Q16/Q17</f>
        <v>0.27126757260273904</v>
      </c>
      <c r="R18" s="8">
        <f t="shared" ref="R18:Z18" si="14">R16/R17</f>
        <v>0.32552807452054711</v>
      </c>
      <c r="S18" s="8">
        <f t="shared" si="14"/>
        <v>0.32769000425205363</v>
      </c>
      <c r="T18" s="8">
        <f t="shared" si="14"/>
        <v>0.32985059037019004</v>
      </c>
      <c r="U18" s="8">
        <f t="shared" si="14"/>
        <v>0.33200936018060984</v>
      </c>
      <c r="V18" s="8">
        <f t="shared" si="14"/>
        <v>0.33416582707685749</v>
      </c>
      <c r="W18" s="8">
        <f t="shared" si="14"/>
        <v>0.33631949021754487</v>
      </c>
      <c r="X18" s="8">
        <f t="shared" si="14"/>
        <v>0.33846983419662668</v>
      </c>
      <c r="Y18" s="8">
        <f t="shared" si="14"/>
        <v>0.340616328706627</v>
      </c>
      <c r="Z18" s="8">
        <f t="shared" si="14"/>
        <v>0.34275842819467695</v>
      </c>
    </row>
    <row r="20" spans="2:29" x14ac:dyDescent="0.3">
      <c r="B20" t="s">
        <v>27</v>
      </c>
      <c r="J20" s="10"/>
      <c r="K20" s="10">
        <f>K3/J3-1</f>
        <v>-3.2019704433497553E-2</v>
      </c>
      <c r="L20" s="10">
        <f t="shared" ref="L20:Z20" si="15">L3/K3-1</f>
        <v>-0.10979453875659861</v>
      </c>
      <c r="M20" s="10">
        <f t="shared" si="15"/>
        <v>0.20563139931740615</v>
      </c>
      <c r="N20" s="10">
        <f t="shared" si="15"/>
        <v>9.4833687190374993E-2</v>
      </c>
      <c r="O20" s="10">
        <f t="shared" si="15"/>
        <v>-4.0723981900452455E-2</v>
      </c>
      <c r="P20" s="10">
        <f t="shared" si="15"/>
        <v>-0.17351752021563338</v>
      </c>
      <c r="Q20" s="10">
        <f t="shared" si="15"/>
        <v>2.0000000000000018E-2</v>
      </c>
      <c r="R20" s="10">
        <f t="shared" si="15"/>
        <v>1.0000000000000009E-2</v>
      </c>
      <c r="S20" s="10">
        <f t="shared" si="15"/>
        <v>1.0000000000000009E-2</v>
      </c>
      <c r="T20" s="10">
        <f t="shared" si="15"/>
        <v>1.0000000000000009E-2</v>
      </c>
      <c r="U20" s="10">
        <f t="shared" si="15"/>
        <v>1.0000000000000009E-2</v>
      </c>
      <c r="V20" s="10">
        <f t="shared" si="15"/>
        <v>1.0000000000000009E-2</v>
      </c>
      <c r="W20" s="10">
        <f t="shared" si="15"/>
        <v>1.0000000000000009E-2</v>
      </c>
      <c r="X20" s="10">
        <f t="shared" si="15"/>
        <v>1.0000000000000009E-2</v>
      </c>
      <c r="Y20" s="10">
        <f t="shared" si="15"/>
        <v>1.0000000000000009E-2</v>
      </c>
      <c r="Z20" s="10">
        <f t="shared" si="15"/>
        <v>1.0000000000000009E-2</v>
      </c>
    </row>
    <row r="21" spans="2:29" x14ac:dyDescent="0.3">
      <c r="B21" t="s">
        <v>28</v>
      </c>
      <c r="J21" s="10">
        <f>J5/J3</f>
        <v>0.68406734798911839</v>
      </c>
      <c r="K21" s="10">
        <f>K5/K3</f>
        <v>0.64771562037142538</v>
      </c>
      <c r="L21" s="10">
        <f t="shared" ref="L21:Z21" si="16">L5/L3</f>
        <v>0.70904436860068254</v>
      </c>
      <c r="M21" s="10">
        <f t="shared" si="16"/>
        <v>0.71160651096956828</v>
      </c>
      <c r="N21" s="10">
        <f t="shared" si="16"/>
        <v>0.70555914673561737</v>
      </c>
      <c r="O21" s="10">
        <f t="shared" si="16"/>
        <v>0.67688679245283023</v>
      </c>
      <c r="P21" s="10">
        <f t="shared" si="16"/>
        <v>0.66634162250305751</v>
      </c>
      <c r="Q21" s="10">
        <f t="shared" si="16"/>
        <v>0.69</v>
      </c>
      <c r="R21" s="10">
        <f t="shared" si="16"/>
        <v>0.7</v>
      </c>
      <c r="S21" s="10">
        <f t="shared" si="16"/>
        <v>0.7</v>
      </c>
      <c r="T21" s="10">
        <f t="shared" si="16"/>
        <v>0.7</v>
      </c>
      <c r="U21" s="10">
        <f t="shared" si="16"/>
        <v>0.7</v>
      </c>
      <c r="V21" s="10">
        <f t="shared" si="16"/>
        <v>0.7</v>
      </c>
      <c r="W21" s="10">
        <f t="shared" si="16"/>
        <v>0.7</v>
      </c>
      <c r="X21" s="10">
        <f t="shared" si="16"/>
        <v>0.7</v>
      </c>
      <c r="Y21" s="10">
        <f t="shared" si="16"/>
        <v>0.7</v>
      </c>
      <c r="Z21" s="10">
        <f t="shared" si="16"/>
        <v>0.7</v>
      </c>
      <c r="AB21" t="s">
        <v>32</v>
      </c>
      <c r="AC21" s="10">
        <v>-0.01</v>
      </c>
    </row>
    <row r="22" spans="2:29" x14ac:dyDescent="0.3">
      <c r="B22" t="s">
        <v>29</v>
      </c>
      <c r="J22" s="10"/>
      <c r="K22" s="10">
        <f>K6/J6-1</f>
        <v>6.5467828041584797E-2</v>
      </c>
      <c r="L22" s="10">
        <f t="shared" ref="L22:Z22" si="17">L6/K6-1</f>
        <v>-0.24775843881856541</v>
      </c>
      <c r="M22" s="10">
        <f t="shared" si="17"/>
        <v>0.28659070990359337</v>
      </c>
      <c r="N22" s="10">
        <f t="shared" si="17"/>
        <v>7.0844686648501298E-2</v>
      </c>
      <c r="O22" s="10">
        <f t="shared" si="17"/>
        <v>2.0356234096692072E-2</v>
      </c>
      <c r="P22" s="10">
        <f t="shared" si="17"/>
        <v>-3.0548628428927693E-2</v>
      </c>
      <c r="Q22" s="10">
        <f t="shared" si="17"/>
        <v>-1.0000000000000009E-2</v>
      </c>
      <c r="R22" s="10">
        <f t="shared" si="17"/>
        <v>1.0000000000000009E-2</v>
      </c>
      <c r="S22" s="10">
        <f t="shared" si="17"/>
        <v>1.0000000000000009E-2</v>
      </c>
      <c r="T22" s="10">
        <f t="shared" si="17"/>
        <v>1.0000000000000009E-2</v>
      </c>
      <c r="U22" s="10">
        <f t="shared" si="17"/>
        <v>1.0000000000000009E-2</v>
      </c>
      <c r="V22" s="10">
        <f t="shared" si="17"/>
        <v>1.0000000000000009E-2</v>
      </c>
      <c r="W22" s="10">
        <f t="shared" si="17"/>
        <v>1.0000000000000009E-2</v>
      </c>
      <c r="X22" s="10">
        <f t="shared" si="17"/>
        <v>1.0000000000000009E-2</v>
      </c>
      <c r="Y22" s="10">
        <f t="shared" si="17"/>
        <v>1.0000000000000009E-2</v>
      </c>
      <c r="Z22" s="10">
        <f t="shared" si="17"/>
        <v>1.0000000000000009E-2</v>
      </c>
      <c r="AB22" t="s">
        <v>33</v>
      </c>
      <c r="AC22" s="10">
        <v>0.09</v>
      </c>
    </row>
    <row r="23" spans="2:29" x14ac:dyDescent="0.3">
      <c r="B23" t="s">
        <v>30</v>
      </c>
      <c r="J23" s="10">
        <f>J8/J3</f>
        <v>0.16072347621498415</v>
      </c>
      <c r="K23" s="10">
        <f>K8/K3</f>
        <v>7.1664577873988861E-2</v>
      </c>
      <c r="L23" s="10">
        <f t="shared" ref="L23:Z23" si="18">L8/L3</f>
        <v>0.22226962457337884</v>
      </c>
      <c r="M23" s="10">
        <f t="shared" si="18"/>
        <v>0.19214437367303611</v>
      </c>
      <c r="N23" s="10">
        <f t="shared" si="18"/>
        <v>0.2123464770523594</v>
      </c>
      <c r="O23" s="10">
        <f t="shared" si="18"/>
        <v>0.14083557951482481</v>
      </c>
      <c r="P23" s="10">
        <f t="shared" si="18"/>
        <v>3.5277619241744829E-2</v>
      </c>
      <c r="Q23" s="10">
        <f t="shared" si="18"/>
        <v>7.7580633557948114E-2</v>
      </c>
      <c r="R23" s="10">
        <f t="shared" si="18"/>
        <v>8.7608887504418989E-2</v>
      </c>
      <c r="S23" s="10">
        <f t="shared" si="18"/>
        <v>8.7637421192934065E-2</v>
      </c>
      <c r="T23" s="10">
        <f t="shared" si="18"/>
        <v>8.7666237393216606E-2</v>
      </c>
      <c r="U23" s="10">
        <f t="shared" si="18"/>
        <v>8.7695338902412934E-2</v>
      </c>
      <c r="V23" s="10">
        <f t="shared" si="18"/>
        <v>8.7724728545363714E-2</v>
      </c>
      <c r="W23" s="10">
        <f t="shared" si="18"/>
        <v>8.7754409174878256E-2</v>
      </c>
      <c r="X23" s="10">
        <f t="shared" si="18"/>
        <v>8.7784383672011815E-2</v>
      </c>
      <c r="Y23" s="10">
        <f t="shared" si="18"/>
        <v>8.7814654946344772E-2</v>
      </c>
      <c r="Z23" s="10">
        <f t="shared" si="18"/>
        <v>8.7845225936265176E-2</v>
      </c>
      <c r="AB23" t="s">
        <v>34</v>
      </c>
      <c r="AC23" s="4">
        <f>NPV(AC22,P16:EL16)</f>
        <v>1170.2464128230349</v>
      </c>
    </row>
    <row r="24" spans="2:29" x14ac:dyDescent="0.3">
      <c r="B24" t="s">
        <v>23</v>
      </c>
      <c r="J24" s="10">
        <f>J14/J13</f>
        <v>0.23036768043576952</v>
      </c>
      <c r="K24" s="10">
        <f>K14/K13</f>
        <v>0.27833827893175062</v>
      </c>
      <c r="L24" s="10">
        <f t="shared" ref="L24:Z24" si="19">L14/L13</f>
        <v>0.23265306122448978</v>
      </c>
      <c r="M24" s="10">
        <f t="shared" si="19"/>
        <v>0.21880998080614203</v>
      </c>
      <c r="N24" s="10">
        <f t="shared" si="19"/>
        <v>0.22397476340694006</v>
      </c>
      <c r="O24" s="10">
        <f t="shared" si="19"/>
        <v>0.29242819843342038</v>
      </c>
      <c r="P24" s="10">
        <f t="shared" si="19"/>
        <v>1.1819415134157358</v>
      </c>
      <c r="Q24" s="10">
        <f t="shared" si="19"/>
        <v>0.24</v>
      </c>
      <c r="R24" s="10">
        <f t="shared" si="19"/>
        <v>0.24</v>
      </c>
      <c r="S24" s="10">
        <f t="shared" si="19"/>
        <v>0.24000000000000002</v>
      </c>
      <c r="T24" s="10">
        <f t="shared" si="19"/>
        <v>0.24</v>
      </c>
      <c r="U24" s="10">
        <f t="shared" si="19"/>
        <v>0.24000000000000002</v>
      </c>
      <c r="V24" s="10">
        <f t="shared" si="19"/>
        <v>0.24</v>
      </c>
      <c r="W24" s="10">
        <f t="shared" si="19"/>
        <v>0.24000000000000002</v>
      </c>
      <c r="X24" s="10">
        <f t="shared" si="19"/>
        <v>0.24000000000000002</v>
      </c>
      <c r="Y24" s="10">
        <f t="shared" si="19"/>
        <v>0.24</v>
      </c>
      <c r="Z24" s="10">
        <f t="shared" si="19"/>
        <v>0.23999999999999996</v>
      </c>
      <c r="AB24" t="s">
        <v>35</v>
      </c>
      <c r="AC24" s="4">
        <f>Main!D8</f>
        <v>63</v>
      </c>
    </row>
    <row r="25" spans="2:29" x14ac:dyDescent="0.3">
      <c r="B25" t="s">
        <v>31</v>
      </c>
      <c r="J25" s="10">
        <f>J16/J3</f>
        <v>0.12473347547974406</v>
      </c>
      <c r="K25" s="10">
        <f>K16/K3</f>
        <v>4.6219285253123715E-2</v>
      </c>
      <c r="L25" s="10">
        <f t="shared" ref="L25:Z25" si="20">L16/L3</f>
        <v>0.16040955631399317</v>
      </c>
      <c r="M25" s="10">
        <f t="shared" si="20"/>
        <v>0.14366595895258316</v>
      </c>
      <c r="N25" s="10">
        <f t="shared" si="20"/>
        <v>0.15837104072398189</v>
      </c>
      <c r="O25" s="10">
        <f t="shared" si="20"/>
        <v>9.0970350404312672E-2</v>
      </c>
      <c r="P25" s="10">
        <f t="shared" si="20"/>
        <v>-2.7835303709743066E-3</v>
      </c>
      <c r="Q25" s="10">
        <f t="shared" si="20"/>
        <v>3.9572457894694671E-2</v>
      </c>
      <c r="R25" s="10">
        <f t="shared" si="20"/>
        <v>4.7017790884865213E-2</v>
      </c>
      <c r="S25" s="10">
        <f t="shared" si="20"/>
        <v>4.6861435800270669E-2</v>
      </c>
      <c r="T25" s="10">
        <f t="shared" si="20"/>
        <v>4.6703377478965191E-2</v>
      </c>
      <c r="U25" s="10">
        <f t="shared" si="20"/>
        <v>4.6543600593521701E-2</v>
      </c>
      <c r="V25" s="10">
        <f t="shared" si="20"/>
        <v>4.6382089649545356E-2</v>
      </c>
      <c r="W25" s="10">
        <f t="shared" si="20"/>
        <v>4.6218828984171088E-2</v>
      </c>
      <c r="X25" s="10">
        <f t="shared" si="20"/>
        <v>4.6053802764544974E-2</v>
      </c>
      <c r="Y25" s="10">
        <f t="shared" si="20"/>
        <v>4.5886994986288503E-2</v>
      </c>
      <c r="Z25" s="10">
        <f t="shared" si="20"/>
        <v>4.5718389471946508E-2</v>
      </c>
      <c r="AB25" t="s">
        <v>36</v>
      </c>
      <c r="AC25" s="4">
        <f>AC23+AC24</f>
        <v>1233.2464128230349</v>
      </c>
    </row>
    <row r="26" spans="2:29" x14ac:dyDescent="0.3">
      <c r="AB26" t="s">
        <v>37</v>
      </c>
      <c r="AC26" s="3">
        <f>AC25/Z17</f>
        <v>3.3787572954055749</v>
      </c>
    </row>
    <row r="27" spans="2:29" x14ac:dyDescent="0.3">
      <c r="AB27" t="s">
        <v>38</v>
      </c>
      <c r="AC27" s="3">
        <f>Main!D3</f>
        <v>8.048</v>
      </c>
    </row>
    <row r="28" spans="2:29" x14ac:dyDescent="0.3">
      <c r="AB28" s="1" t="s">
        <v>39</v>
      </c>
      <c r="AC28" s="11">
        <f>AC26/AC27-1</f>
        <v>-0.58017429232038087</v>
      </c>
    </row>
    <row r="29" spans="2:29" x14ac:dyDescent="0.3">
      <c r="AB29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2024-11-10T16:49:37Z</dcterms:created>
  <dcterms:modified xsi:type="dcterms:W3CDTF">2024-11-10T17:25:57Z</dcterms:modified>
</cp:coreProperties>
</file>