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C5A31F86-7A22-49EC-A532-A26ADC230F71}" xr6:coauthVersionLast="47" xr6:coauthVersionMax="47" xr10:uidLastSave="{00000000-0000-0000-0000-000000000000}"/>
  <bookViews>
    <workbookView xWindow="-108" yWindow="-108" windowWidth="23256" windowHeight="12576" activeTab="1" xr2:uid="{7753066E-724B-42EB-9AF0-1E4829C95CC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" i="2" l="1"/>
  <c r="Q36" i="2" s="1"/>
  <c r="R10" i="2"/>
  <c r="P10" i="2"/>
  <c r="P36" i="2" s="1"/>
  <c r="Q9" i="2"/>
  <c r="Y7" i="2"/>
  <c r="Y8" i="2" s="1"/>
  <c r="AJ33" i="2"/>
  <c r="AI33" i="2"/>
  <c r="AH33" i="2"/>
  <c r="AG33" i="2"/>
  <c r="AF33" i="2"/>
  <c r="AE33" i="2"/>
  <c r="AD33" i="2"/>
  <c r="AC33" i="2"/>
  <c r="AB33" i="2"/>
  <c r="AA33" i="2"/>
  <c r="AC7" i="2"/>
  <c r="AD7" i="2" s="1"/>
  <c r="AE7" i="2" s="1"/>
  <c r="AF7" i="2" s="1"/>
  <c r="AG7" i="2" s="1"/>
  <c r="AH7" i="2" s="1"/>
  <c r="AI7" i="2" s="1"/>
  <c r="AJ7" i="2" s="1"/>
  <c r="AB7" i="2"/>
  <c r="AA7" i="2"/>
  <c r="Z8" i="2"/>
  <c r="Z7" i="2"/>
  <c r="AC23" i="2"/>
  <c r="AD23" i="2" s="1"/>
  <c r="AE23" i="2" s="1"/>
  <c r="AF23" i="2" s="1"/>
  <c r="AG23" i="2" s="1"/>
  <c r="AH23" i="2" s="1"/>
  <c r="AI23" i="2" s="1"/>
  <c r="AJ23" i="2" s="1"/>
  <c r="AB23" i="2"/>
  <c r="R9" i="2"/>
  <c r="R6" i="2"/>
  <c r="R34" i="2" s="1"/>
  <c r="Q6" i="2"/>
  <c r="Q34" i="2" s="1"/>
  <c r="P6" i="2"/>
  <c r="P5" i="2"/>
  <c r="O33" i="2"/>
  <c r="O20" i="2"/>
  <c r="O16" i="2"/>
  <c r="O15" i="2"/>
  <c r="O8" i="2"/>
  <c r="K7" i="2"/>
  <c r="Q7" i="2"/>
  <c r="Q8" i="2" s="1"/>
  <c r="D7" i="1"/>
  <c r="D6" i="1"/>
  <c r="AJ28" i="2"/>
  <c r="AI28" i="2"/>
  <c r="AH28" i="2"/>
  <c r="AG28" i="2"/>
  <c r="AF28" i="2"/>
  <c r="AE28" i="2"/>
  <c r="AD28" i="2"/>
  <c r="AC28" i="2"/>
  <c r="AB28" i="2"/>
  <c r="AA28" i="2"/>
  <c r="Z28" i="2"/>
  <c r="R28" i="2"/>
  <c r="Q28" i="2"/>
  <c r="P28" i="2"/>
  <c r="O28" i="2"/>
  <c r="D4" i="1"/>
  <c r="Y19" i="2"/>
  <c r="Y18" i="2"/>
  <c r="Y17" i="2"/>
  <c r="Y14" i="2"/>
  <c r="Y13" i="2"/>
  <c r="Y12" i="2"/>
  <c r="Y15" i="2" s="1"/>
  <c r="R23" i="2"/>
  <c r="R41" i="2" s="1"/>
  <c r="Q23" i="2"/>
  <c r="Q41" i="2" s="1"/>
  <c r="P23" i="2"/>
  <c r="P41" i="2" s="1"/>
  <c r="O41" i="2"/>
  <c r="R36" i="2"/>
  <c r="O36" i="2"/>
  <c r="P9" i="2"/>
  <c r="R35" i="2"/>
  <c r="R5" i="2"/>
  <c r="R33" i="2" s="1"/>
  <c r="Q5" i="2"/>
  <c r="Q33" i="2" s="1"/>
  <c r="P33" i="2"/>
  <c r="R4" i="2"/>
  <c r="R32" i="2" s="1"/>
  <c r="Q4" i="2"/>
  <c r="Q32" i="2" s="1"/>
  <c r="P4" i="2"/>
  <c r="P32" i="2" s="1"/>
  <c r="O32" i="2"/>
  <c r="P35" i="2"/>
  <c r="R31" i="2"/>
  <c r="Q31" i="2"/>
  <c r="P31" i="2"/>
  <c r="O31" i="2"/>
  <c r="R3" i="2"/>
  <c r="Q3" i="2"/>
  <c r="P3" i="2"/>
  <c r="Z3" i="2" s="1"/>
  <c r="N24" i="2"/>
  <c r="N15" i="2"/>
  <c r="N20" i="2" s="1"/>
  <c r="N11" i="2"/>
  <c r="Y28" i="2"/>
  <c r="N28" i="2"/>
  <c r="Z33" i="2" l="1"/>
  <c r="Z9" i="2"/>
  <c r="Q35" i="2"/>
  <c r="Q16" i="2"/>
  <c r="Q22" i="2" s="1"/>
  <c r="Q40" i="2" s="1"/>
  <c r="R7" i="2"/>
  <c r="R8" i="2" s="1"/>
  <c r="P7" i="2"/>
  <c r="P8" i="2" s="1"/>
  <c r="P16" i="2" s="1"/>
  <c r="P20" i="2" s="1"/>
  <c r="P21" i="2" s="1"/>
  <c r="P39" i="2" s="1"/>
  <c r="P34" i="2"/>
  <c r="O35" i="2"/>
  <c r="P11" i="2"/>
  <c r="Z10" i="2"/>
  <c r="Z4" i="2"/>
  <c r="AA4" i="2" s="1"/>
  <c r="AB4" i="2" s="1"/>
  <c r="AC4" i="2" s="1"/>
  <c r="AD4" i="2" s="1"/>
  <c r="AE4" i="2" s="1"/>
  <c r="O11" i="2"/>
  <c r="Q11" i="2"/>
  <c r="Z23" i="2"/>
  <c r="R11" i="2"/>
  <c r="R37" i="2" s="1"/>
  <c r="R16" i="2"/>
  <c r="Q24" i="2" l="1"/>
  <c r="Q42" i="2" s="1"/>
  <c r="Q20" i="2"/>
  <c r="Q21" i="2" s="1"/>
  <c r="Q39" i="2" s="1"/>
  <c r="P22" i="2"/>
  <c r="P40" i="2" s="1"/>
  <c r="P24" i="2"/>
  <c r="P42" i="2" s="1"/>
  <c r="O21" i="2"/>
  <c r="O39" i="2" s="1"/>
  <c r="R22" i="2"/>
  <c r="R40" i="2" s="1"/>
  <c r="R20" i="2"/>
  <c r="R24" i="2"/>
  <c r="Z24" i="2" s="1"/>
  <c r="O40" i="2"/>
  <c r="Q25" i="2" l="1"/>
  <c r="Q26" i="2" s="1"/>
  <c r="Q44" i="2" s="1"/>
  <c r="P25" i="2"/>
  <c r="Z20" i="2"/>
  <c r="O42" i="2"/>
  <c r="R21" i="2"/>
  <c r="R39" i="2" s="1"/>
  <c r="Z22" i="2"/>
  <c r="R42" i="2"/>
  <c r="P43" i="2"/>
  <c r="P26" i="2"/>
  <c r="P44" i="2" s="1"/>
  <c r="O25" i="2"/>
  <c r="Q43" i="2" l="1"/>
  <c r="Q27" i="2"/>
  <c r="Q45" i="2" s="1"/>
  <c r="R25" i="2"/>
  <c r="R26" i="2" s="1"/>
  <c r="R44" i="2" s="1"/>
  <c r="P27" i="2"/>
  <c r="P29" i="2" s="1"/>
  <c r="O43" i="2"/>
  <c r="O44" i="2"/>
  <c r="O27" i="2"/>
  <c r="Y10" i="2"/>
  <c r="N35" i="2"/>
  <c r="M36" i="2"/>
  <c r="L36" i="2"/>
  <c r="K36" i="2"/>
  <c r="J36" i="2"/>
  <c r="I36" i="2"/>
  <c r="H36" i="2"/>
  <c r="M35" i="2"/>
  <c r="L35" i="2"/>
  <c r="K35" i="2"/>
  <c r="J35" i="2"/>
  <c r="I35" i="2"/>
  <c r="H35" i="2"/>
  <c r="G36" i="2"/>
  <c r="G35" i="2"/>
  <c r="N34" i="2"/>
  <c r="N33" i="2"/>
  <c r="Y4" i="2"/>
  <c r="Y3" i="2"/>
  <c r="M34" i="2"/>
  <c r="M33" i="2"/>
  <c r="M32" i="2"/>
  <c r="M31" i="2"/>
  <c r="M15" i="2"/>
  <c r="M20" i="2" s="1"/>
  <c r="M11" i="2"/>
  <c r="Q37" i="2" s="1"/>
  <c r="M8" i="2"/>
  <c r="M16" i="2" s="1"/>
  <c r="Q38" i="2" s="1"/>
  <c r="L34" i="2"/>
  <c r="K34" i="2"/>
  <c r="J34" i="2"/>
  <c r="I34" i="2"/>
  <c r="H34" i="2"/>
  <c r="G34" i="2"/>
  <c r="L33" i="2"/>
  <c r="K33" i="2"/>
  <c r="J33" i="2"/>
  <c r="I33" i="2"/>
  <c r="H33" i="2"/>
  <c r="G33" i="2"/>
  <c r="L32" i="2"/>
  <c r="K32" i="2"/>
  <c r="J32" i="2"/>
  <c r="I32" i="2"/>
  <c r="H32" i="2"/>
  <c r="G32" i="2"/>
  <c r="K31" i="2"/>
  <c r="J31" i="2"/>
  <c r="I31" i="2"/>
  <c r="H31" i="2"/>
  <c r="G31" i="2"/>
  <c r="L31" i="2"/>
  <c r="AN45" i="2"/>
  <c r="N41" i="2"/>
  <c r="M41" i="2"/>
  <c r="X26" i="2"/>
  <c r="X23" i="2"/>
  <c r="X22" i="2"/>
  <c r="X19" i="2"/>
  <c r="X18" i="2"/>
  <c r="X17" i="2"/>
  <c r="X14" i="2"/>
  <c r="X13" i="2"/>
  <c r="X12" i="2"/>
  <c r="X10" i="2"/>
  <c r="X9" i="2"/>
  <c r="X6" i="2"/>
  <c r="X5" i="2"/>
  <c r="X4" i="2"/>
  <c r="X3" i="2"/>
  <c r="W26" i="2"/>
  <c r="W23" i="2"/>
  <c r="W41" i="2" s="1"/>
  <c r="W22" i="2"/>
  <c r="W19" i="2"/>
  <c r="W18" i="2"/>
  <c r="W17" i="2"/>
  <c r="W14" i="2"/>
  <c r="W13" i="2"/>
  <c r="W12" i="2"/>
  <c r="W10" i="2"/>
  <c r="W36" i="2" s="1"/>
  <c r="W9" i="2"/>
  <c r="W35" i="2" s="1"/>
  <c r="W6" i="2"/>
  <c r="W34" i="2" s="1"/>
  <c r="W5" i="2"/>
  <c r="W33" i="2" s="1"/>
  <c r="W4" i="2"/>
  <c r="W32" i="2" s="1"/>
  <c r="W3" i="2"/>
  <c r="W31" i="2" s="1"/>
  <c r="V24" i="2"/>
  <c r="V15" i="2"/>
  <c r="V20" i="2" s="1"/>
  <c r="V11" i="2"/>
  <c r="V8" i="2"/>
  <c r="V16" i="2" s="1"/>
  <c r="V40" i="2" s="1"/>
  <c r="K41" i="2"/>
  <c r="J41" i="2"/>
  <c r="I41" i="2"/>
  <c r="H41" i="2"/>
  <c r="G41" i="2"/>
  <c r="L41" i="2"/>
  <c r="C24" i="2"/>
  <c r="C15" i="2"/>
  <c r="C20" i="2" s="1"/>
  <c r="C11" i="2"/>
  <c r="C8" i="2"/>
  <c r="C16" i="2" s="1"/>
  <c r="C40" i="2" s="1"/>
  <c r="D24" i="2"/>
  <c r="D15" i="2"/>
  <c r="D20" i="2" s="1"/>
  <c r="D11" i="2"/>
  <c r="D8" i="2"/>
  <c r="D16" i="2" s="1"/>
  <c r="D40" i="2" s="1"/>
  <c r="E24" i="2"/>
  <c r="E15" i="2"/>
  <c r="E20" i="2" s="1"/>
  <c r="E11" i="2"/>
  <c r="E8" i="2"/>
  <c r="E16" i="2" s="1"/>
  <c r="E40" i="2" s="1"/>
  <c r="F24" i="2"/>
  <c r="F15" i="2"/>
  <c r="F20" i="2" s="1"/>
  <c r="F11" i="2"/>
  <c r="F8" i="2"/>
  <c r="F16" i="2" s="1"/>
  <c r="F40" i="2" s="1"/>
  <c r="I24" i="2"/>
  <c r="I15" i="2"/>
  <c r="I20" i="2" s="1"/>
  <c r="I11" i="2"/>
  <c r="I37" i="2" s="1"/>
  <c r="I8" i="2"/>
  <c r="I16" i="2" s="1"/>
  <c r="J24" i="2"/>
  <c r="J15" i="2"/>
  <c r="J20" i="2" s="1"/>
  <c r="J11" i="2"/>
  <c r="N37" i="2" s="1"/>
  <c r="J8" i="2"/>
  <c r="J16" i="2" s="1"/>
  <c r="G15" i="2"/>
  <c r="G20" i="2" s="1"/>
  <c r="G11" i="2"/>
  <c r="G8" i="2"/>
  <c r="G16" i="2" s="1"/>
  <c r="G40" i="2" s="1"/>
  <c r="K15" i="2"/>
  <c r="K20" i="2" s="1"/>
  <c r="K11" i="2"/>
  <c r="O37" i="2" s="1"/>
  <c r="K8" i="2"/>
  <c r="K16" i="2" s="1"/>
  <c r="H15" i="2"/>
  <c r="H20" i="2" s="1"/>
  <c r="H11" i="2"/>
  <c r="H8" i="2"/>
  <c r="H16" i="2" s="1"/>
  <c r="H40" i="2" s="1"/>
  <c r="L15" i="2"/>
  <c r="L20" i="2" s="1"/>
  <c r="L11" i="2"/>
  <c r="P37" i="2" s="1"/>
  <c r="L8" i="2"/>
  <c r="L16" i="2" s="1"/>
  <c r="D8" i="1"/>
  <c r="G3" i="1"/>
  <c r="D5" i="1"/>
  <c r="Q29" i="2" l="1"/>
  <c r="P45" i="2"/>
  <c r="R43" i="2"/>
  <c r="Z26" i="2"/>
  <c r="K40" i="2"/>
  <c r="O38" i="2"/>
  <c r="L42" i="2"/>
  <c r="P38" i="2"/>
  <c r="R27" i="2"/>
  <c r="O29" i="2"/>
  <c r="O45" i="2"/>
  <c r="AN42" i="2"/>
  <c r="X36" i="2"/>
  <c r="N36" i="2"/>
  <c r="X35" i="2"/>
  <c r="Y36" i="2"/>
  <c r="AA10" i="2"/>
  <c r="AB10" i="2" s="1"/>
  <c r="AC10" i="2" s="1"/>
  <c r="AD10" i="2" s="1"/>
  <c r="AE10" i="2" s="1"/>
  <c r="AF10" i="2" s="1"/>
  <c r="AG10" i="2" s="1"/>
  <c r="AH10" i="2" s="1"/>
  <c r="AI10" i="2" s="1"/>
  <c r="AJ10" i="2" s="1"/>
  <c r="Y9" i="2"/>
  <c r="Y35" i="2" s="1"/>
  <c r="Y6" i="2"/>
  <c r="D9" i="1"/>
  <c r="N32" i="2"/>
  <c r="AA3" i="2"/>
  <c r="AB3" i="2" s="1"/>
  <c r="AC3" i="2" s="1"/>
  <c r="AD3" i="2" s="1"/>
  <c r="AE3" i="2" s="1"/>
  <c r="AF3" i="2" s="1"/>
  <c r="AG3" i="2" s="1"/>
  <c r="AH3" i="2" s="1"/>
  <c r="AI3" i="2" s="1"/>
  <c r="AJ3" i="2" s="1"/>
  <c r="Z32" i="2"/>
  <c r="N40" i="2"/>
  <c r="Y16" i="2"/>
  <c r="H37" i="2"/>
  <c r="Y5" i="2"/>
  <c r="Y31" i="2"/>
  <c r="N8" i="2"/>
  <c r="N16" i="2" s="1"/>
  <c r="G37" i="2"/>
  <c r="X32" i="2"/>
  <c r="X31" i="2"/>
  <c r="L37" i="2"/>
  <c r="N31" i="2"/>
  <c r="X34" i="2"/>
  <c r="Y32" i="2"/>
  <c r="M37" i="2"/>
  <c r="K37" i="2"/>
  <c r="J37" i="2"/>
  <c r="X33" i="2"/>
  <c r="G21" i="2"/>
  <c r="G39" i="2" s="1"/>
  <c r="J42" i="2"/>
  <c r="F42" i="2"/>
  <c r="D42" i="2"/>
  <c r="Y23" i="2"/>
  <c r="AA23" i="2" s="1"/>
  <c r="V42" i="2"/>
  <c r="X41" i="2"/>
  <c r="X24" i="2"/>
  <c r="E42" i="2"/>
  <c r="C42" i="2"/>
  <c r="G42" i="2"/>
  <c r="G38" i="2"/>
  <c r="H42" i="2"/>
  <c r="X11" i="2"/>
  <c r="M38" i="2"/>
  <c r="N42" i="2"/>
  <c r="N38" i="2"/>
  <c r="L21" i="2"/>
  <c r="I38" i="2"/>
  <c r="I42" i="2"/>
  <c r="W24" i="2"/>
  <c r="L40" i="2"/>
  <c r="J38" i="2"/>
  <c r="L38" i="2"/>
  <c r="K38" i="2"/>
  <c r="I40" i="2"/>
  <c r="K42" i="2"/>
  <c r="J40" i="2"/>
  <c r="H38" i="2"/>
  <c r="X15" i="2"/>
  <c r="X20" i="2" s="1"/>
  <c r="X8" i="2"/>
  <c r="W15" i="2"/>
  <c r="W20" i="2" s="1"/>
  <c r="W11" i="2"/>
  <c r="W37" i="2" s="1"/>
  <c r="W8" i="2"/>
  <c r="V21" i="2"/>
  <c r="C21" i="2"/>
  <c r="D21" i="2"/>
  <c r="E21" i="2"/>
  <c r="F21" i="2"/>
  <c r="I21" i="2"/>
  <c r="J21" i="2"/>
  <c r="K21" i="2"/>
  <c r="H21" i="2"/>
  <c r="R29" i="2" l="1"/>
  <c r="R45" i="2"/>
  <c r="N21" i="2"/>
  <c r="R38" i="2"/>
  <c r="AA36" i="2"/>
  <c r="Z36" i="2"/>
  <c r="Y11" i="2"/>
  <c r="Y37" i="2" s="1"/>
  <c r="Y34" i="2"/>
  <c r="AB36" i="2"/>
  <c r="AD36" i="2"/>
  <c r="AC36" i="2"/>
  <c r="X37" i="2"/>
  <c r="AB31" i="2"/>
  <c r="AA31" i="2"/>
  <c r="Z16" i="2"/>
  <c r="AA8" i="2"/>
  <c r="AB32" i="2"/>
  <c r="AF4" i="2"/>
  <c r="AG4" i="2" s="1"/>
  <c r="AH4" i="2" s="1"/>
  <c r="AI4" i="2" s="1"/>
  <c r="AJ4" i="2" s="1"/>
  <c r="AC31" i="2"/>
  <c r="Y33" i="2"/>
  <c r="Z31" i="2"/>
  <c r="AA32" i="2"/>
  <c r="AD31" i="2"/>
  <c r="W16" i="2"/>
  <c r="W38" i="2" s="1"/>
  <c r="X16" i="2"/>
  <c r="G25" i="2"/>
  <c r="G27" i="2" s="1"/>
  <c r="Y41" i="2"/>
  <c r="X42" i="2"/>
  <c r="N25" i="2"/>
  <c r="N39" i="2"/>
  <c r="V25" i="2"/>
  <c r="V39" i="2"/>
  <c r="L25" i="2"/>
  <c r="L39" i="2"/>
  <c r="M42" i="2"/>
  <c r="Y24" i="2"/>
  <c r="Y42" i="2" s="1"/>
  <c r="D25" i="2"/>
  <c r="D39" i="2"/>
  <c r="K25" i="2"/>
  <c r="K39" i="2"/>
  <c r="Y22" i="2"/>
  <c r="Y40" i="2" s="1"/>
  <c r="M40" i="2"/>
  <c r="C25" i="2"/>
  <c r="C39" i="2"/>
  <c r="J25" i="2"/>
  <c r="J39" i="2"/>
  <c r="I25" i="2"/>
  <c r="I39" i="2"/>
  <c r="Z41" i="2"/>
  <c r="H25" i="2"/>
  <c r="H39" i="2"/>
  <c r="F25" i="2"/>
  <c r="F39" i="2"/>
  <c r="AB41" i="2"/>
  <c r="E25" i="2"/>
  <c r="E39" i="2"/>
  <c r="AA41" i="2"/>
  <c r="Y38" i="2"/>
  <c r="AC41" i="2"/>
  <c r="X21" i="2"/>
  <c r="X40" i="2" l="1"/>
  <c r="AA9" i="2"/>
  <c r="Z11" i="2"/>
  <c r="Z37" i="2" s="1"/>
  <c r="Z35" i="2"/>
  <c r="AE36" i="2"/>
  <c r="AC32" i="2"/>
  <c r="AB8" i="2"/>
  <c r="AD32" i="2"/>
  <c r="AE31" i="2"/>
  <c r="W21" i="2"/>
  <c r="W25" i="2" s="1"/>
  <c r="X38" i="2"/>
  <c r="W40" i="2"/>
  <c r="W42" i="2"/>
  <c r="G43" i="2"/>
  <c r="G44" i="2"/>
  <c r="Z42" i="2"/>
  <c r="Z40" i="2"/>
  <c r="Z38" i="2"/>
  <c r="L44" i="2"/>
  <c r="L27" i="2"/>
  <c r="L43" i="2"/>
  <c r="J27" i="2"/>
  <c r="J44" i="2"/>
  <c r="J43" i="2"/>
  <c r="C27" i="2"/>
  <c r="C44" i="2"/>
  <c r="C43" i="2"/>
  <c r="F27" i="2"/>
  <c r="F44" i="2"/>
  <c r="F43" i="2"/>
  <c r="H27" i="2"/>
  <c r="H44" i="2"/>
  <c r="H43" i="2"/>
  <c r="K27" i="2"/>
  <c r="K44" i="2"/>
  <c r="K43" i="2"/>
  <c r="V27" i="2"/>
  <c r="V43" i="2"/>
  <c r="V44" i="2"/>
  <c r="X25" i="2"/>
  <c r="X39" i="2"/>
  <c r="E27" i="2"/>
  <c r="E43" i="2"/>
  <c r="E44" i="2"/>
  <c r="I27" i="2"/>
  <c r="I44" i="2"/>
  <c r="I43" i="2"/>
  <c r="G29" i="2"/>
  <c r="G45" i="2"/>
  <c r="D27" i="2"/>
  <c r="D44" i="2"/>
  <c r="D43" i="2"/>
  <c r="N44" i="2"/>
  <c r="N43" i="2"/>
  <c r="AD41" i="2"/>
  <c r="AA11" i="2" l="1"/>
  <c r="AA37" i="2" s="1"/>
  <c r="AA35" i="2"/>
  <c r="AB9" i="2"/>
  <c r="AA16" i="2"/>
  <c r="AA24" i="2" s="1"/>
  <c r="AA42" i="2" s="1"/>
  <c r="AF36" i="2"/>
  <c r="AC8" i="2"/>
  <c r="AB16" i="2"/>
  <c r="AB24" i="2" s="1"/>
  <c r="AE32" i="2"/>
  <c r="AF31" i="2"/>
  <c r="N27" i="2"/>
  <c r="N45" i="2" s="1"/>
  <c r="W39" i="2"/>
  <c r="F29" i="2"/>
  <c r="F45" i="2"/>
  <c r="I29" i="2"/>
  <c r="I45" i="2"/>
  <c r="V29" i="2"/>
  <c r="V45" i="2"/>
  <c r="E29" i="2"/>
  <c r="E45" i="2"/>
  <c r="W27" i="2"/>
  <c r="W43" i="2"/>
  <c r="W44" i="2"/>
  <c r="J29" i="2"/>
  <c r="J45" i="2"/>
  <c r="K29" i="2"/>
  <c r="K45" i="2"/>
  <c r="L29" i="2"/>
  <c r="L45" i="2"/>
  <c r="X27" i="2"/>
  <c r="X43" i="2"/>
  <c r="X44" i="2"/>
  <c r="C29" i="2"/>
  <c r="C45" i="2"/>
  <c r="D29" i="2"/>
  <c r="D45" i="2"/>
  <c r="H29" i="2"/>
  <c r="H45" i="2"/>
  <c r="AE41" i="2"/>
  <c r="AA38" i="2" l="1"/>
  <c r="AA21" i="2"/>
  <c r="AA39" i="2" s="1"/>
  <c r="AA22" i="2"/>
  <c r="AA40" i="2" s="1"/>
  <c r="AC9" i="2"/>
  <c r="AB11" i="2"/>
  <c r="AB37" i="2" s="1"/>
  <c r="AB35" i="2"/>
  <c r="AG36" i="2"/>
  <c r="AD8" i="2"/>
  <c r="AF32" i="2"/>
  <c r="AG31" i="2"/>
  <c r="N29" i="2"/>
  <c r="W29" i="2"/>
  <c r="W45" i="2"/>
  <c r="X29" i="2"/>
  <c r="X45" i="2"/>
  <c r="AB42" i="2"/>
  <c r="AB22" i="2"/>
  <c r="AB40" i="2" s="1"/>
  <c r="AB21" i="2"/>
  <c r="AB38" i="2"/>
  <c r="AF41" i="2"/>
  <c r="AA20" i="2" l="1"/>
  <c r="AA25" i="2"/>
  <c r="AA43" i="2" s="1"/>
  <c r="AC16" i="2"/>
  <c r="AC24" i="2" s="1"/>
  <c r="AC42" i="2" s="1"/>
  <c r="AD9" i="2"/>
  <c r="AC11" i="2"/>
  <c r="AC37" i="2" s="1"/>
  <c r="AC35" i="2"/>
  <c r="AH36" i="2"/>
  <c r="AE8" i="2"/>
  <c r="AG32" i="2"/>
  <c r="AH31" i="2"/>
  <c r="AB20" i="2"/>
  <c r="AB25" i="2"/>
  <c r="AB39" i="2"/>
  <c r="AG41" i="2"/>
  <c r="AD16" i="2" l="1"/>
  <c r="AD24" i="2" s="1"/>
  <c r="AD42" i="2" s="1"/>
  <c r="AA26" i="2"/>
  <c r="AA44" i="2" s="1"/>
  <c r="AC38" i="2"/>
  <c r="AC21" i="2"/>
  <c r="AC20" i="2" s="1"/>
  <c r="AC22" i="2"/>
  <c r="AC40" i="2" s="1"/>
  <c r="AE9" i="2"/>
  <c r="AD11" i="2"/>
  <c r="AD37" i="2" s="1"/>
  <c r="AD35" i="2"/>
  <c r="AJ36" i="2"/>
  <c r="AI36" i="2"/>
  <c r="AF8" i="2"/>
  <c r="AH32" i="2"/>
  <c r="AJ31" i="2"/>
  <c r="AI31" i="2"/>
  <c r="AB26" i="2"/>
  <c r="AB44" i="2" s="1"/>
  <c r="AB43" i="2"/>
  <c r="AH41" i="2"/>
  <c r="AD38" i="2" l="1"/>
  <c r="AD21" i="2"/>
  <c r="AD39" i="2" s="1"/>
  <c r="AD22" i="2"/>
  <c r="AD40" i="2" s="1"/>
  <c r="AA27" i="2"/>
  <c r="AC39" i="2"/>
  <c r="AC25" i="2"/>
  <c r="AC26" i="2" s="1"/>
  <c r="AF9" i="2"/>
  <c r="AE11" i="2"/>
  <c r="AE37" i="2" s="1"/>
  <c r="AE35" i="2"/>
  <c r="AE16" i="2"/>
  <c r="AE24" i="2" s="1"/>
  <c r="AE42" i="2" s="1"/>
  <c r="AG8" i="2"/>
  <c r="AJ32" i="2"/>
  <c r="AI32" i="2"/>
  <c r="AB27" i="2"/>
  <c r="AJ41" i="2"/>
  <c r="AI41" i="2"/>
  <c r="AD25" i="2" l="1"/>
  <c r="AD26" i="2" s="1"/>
  <c r="AD20" i="2"/>
  <c r="AC43" i="2"/>
  <c r="AF16" i="2"/>
  <c r="AF24" i="2" s="1"/>
  <c r="AF42" i="2" s="1"/>
  <c r="AA45" i="2"/>
  <c r="AA29" i="2"/>
  <c r="AE21" i="2"/>
  <c r="AE20" i="2" s="1"/>
  <c r="AE38" i="2"/>
  <c r="AB29" i="2"/>
  <c r="AE22" i="2"/>
  <c r="AE40" i="2" s="1"/>
  <c r="AG9" i="2"/>
  <c r="AF11" i="2"/>
  <c r="AF37" i="2" s="1"/>
  <c r="AF35" i="2"/>
  <c r="AH8" i="2"/>
  <c r="AB45" i="2"/>
  <c r="AC27" i="2"/>
  <c r="AC44" i="2"/>
  <c r="AD43" i="2" l="1"/>
  <c r="AF21" i="2"/>
  <c r="AF39" i="2" s="1"/>
  <c r="AE39" i="2"/>
  <c r="AF38" i="2"/>
  <c r="AF22" i="2"/>
  <c r="AF40" i="2" s="1"/>
  <c r="AH9" i="2"/>
  <c r="AG11" i="2"/>
  <c r="AG37" i="2" s="1"/>
  <c r="AG35" i="2"/>
  <c r="AE25" i="2"/>
  <c r="AE26" i="2" s="1"/>
  <c r="AE44" i="2" s="1"/>
  <c r="AG16" i="2"/>
  <c r="AG24" i="2" s="1"/>
  <c r="AG42" i="2" s="1"/>
  <c r="AI8" i="2"/>
  <c r="AC29" i="2"/>
  <c r="AC45" i="2"/>
  <c r="AD27" i="2"/>
  <c r="AD44" i="2"/>
  <c r="AF20" i="2" l="1"/>
  <c r="AF25" i="2"/>
  <c r="AF26" i="2" s="1"/>
  <c r="AF44" i="2" s="1"/>
  <c r="AH16" i="2"/>
  <c r="AH24" i="2" s="1"/>
  <c r="AH42" i="2" s="1"/>
  <c r="AG21" i="2"/>
  <c r="AG20" i="2" s="1"/>
  <c r="AG22" i="2"/>
  <c r="AG40" i="2" s="1"/>
  <c r="AE43" i="2"/>
  <c r="AG38" i="2"/>
  <c r="AI9" i="2"/>
  <c r="AH11" i="2"/>
  <c r="AH37" i="2" s="1"/>
  <c r="AH35" i="2"/>
  <c r="AJ8" i="2"/>
  <c r="AD29" i="2"/>
  <c r="AD45" i="2"/>
  <c r="AE27" i="2"/>
  <c r="AF43" i="2" l="1"/>
  <c r="AH22" i="2"/>
  <c r="AH40" i="2" s="1"/>
  <c r="AH21" i="2"/>
  <c r="AH20" i="2" s="1"/>
  <c r="AH38" i="2"/>
  <c r="AG39" i="2"/>
  <c r="AG25" i="2"/>
  <c r="AG26" i="2" s="1"/>
  <c r="AG44" i="2" s="1"/>
  <c r="AI16" i="2"/>
  <c r="AI24" i="2" s="1"/>
  <c r="AI42" i="2" s="1"/>
  <c r="AJ9" i="2"/>
  <c r="AI11" i="2"/>
  <c r="AI37" i="2" s="1"/>
  <c r="AI35" i="2"/>
  <c r="AF27" i="2"/>
  <c r="AF29" i="2" s="1"/>
  <c r="AE29" i="2"/>
  <c r="AE45" i="2"/>
  <c r="AJ16" i="2" l="1"/>
  <c r="AJ24" i="2" s="1"/>
  <c r="AJ42" i="2" s="1"/>
  <c r="AH25" i="2"/>
  <c r="AH26" i="2" s="1"/>
  <c r="AH39" i="2"/>
  <c r="AI21" i="2"/>
  <c r="AI20" i="2" s="1"/>
  <c r="AI22" i="2"/>
  <c r="AI40" i="2" s="1"/>
  <c r="AG43" i="2"/>
  <c r="AI38" i="2"/>
  <c r="AJ11" i="2"/>
  <c r="AJ37" i="2" s="1"/>
  <c r="AJ35" i="2"/>
  <c r="AG27" i="2"/>
  <c r="AG29" i="2" s="1"/>
  <c r="AF45" i="2"/>
  <c r="AJ38" i="2" l="1"/>
  <c r="AJ21" i="2"/>
  <c r="AJ20" i="2" s="1"/>
  <c r="AJ22" i="2"/>
  <c r="AJ40" i="2" s="1"/>
  <c r="AH43" i="2"/>
  <c r="AI39" i="2"/>
  <c r="AI25" i="2"/>
  <c r="AI26" i="2" s="1"/>
  <c r="AI44" i="2" s="1"/>
  <c r="AG45" i="2"/>
  <c r="AH27" i="2"/>
  <c r="AH44" i="2"/>
  <c r="AJ39" i="2" l="1"/>
  <c r="AJ25" i="2"/>
  <c r="AJ43" i="2" s="1"/>
  <c r="AI43" i="2"/>
  <c r="AI27" i="2"/>
  <c r="AH29" i="2"/>
  <c r="AH45" i="2"/>
  <c r="AJ26" i="2" l="1"/>
  <c r="AJ44" i="2" s="1"/>
  <c r="AI29" i="2"/>
  <c r="AI45" i="2"/>
  <c r="AJ27" i="2" l="1"/>
  <c r="AK27" i="2" s="1"/>
  <c r="AL27" i="2" s="1"/>
  <c r="AM27" i="2" s="1"/>
  <c r="AN27" i="2" s="1"/>
  <c r="AO27" i="2" s="1"/>
  <c r="AP27" i="2" s="1"/>
  <c r="AQ27" i="2" s="1"/>
  <c r="AR27" i="2" s="1"/>
  <c r="AS27" i="2" s="1"/>
  <c r="AT27" i="2" s="1"/>
  <c r="AU27" i="2" s="1"/>
  <c r="AV27" i="2" s="1"/>
  <c r="AW27" i="2" s="1"/>
  <c r="AX27" i="2" s="1"/>
  <c r="AY27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BJ27" i="2" s="1"/>
  <c r="BK27" i="2" s="1"/>
  <c r="BL27" i="2" s="1"/>
  <c r="BM27" i="2" s="1"/>
  <c r="BN27" i="2" s="1"/>
  <c r="BO27" i="2" s="1"/>
  <c r="BP27" i="2" s="1"/>
  <c r="BQ27" i="2" s="1"/>
  <c r="BR27" i="2" s="1"/>
  <c r="BS27" i="2" s="1"/>
  <c r="BT27" i="2" s="1"/>
  <c r="BU27" i="2" s="1"/>
  <c r="BV27" i="2" s="1"/>
  <c r="BW27" i="2" s="1"/>
  <c r="BX27" i="2" s="1"/>
  <c r="BY27" i="2" s="1"/>
  <c r="BZ27" i="2" s="1"/>
  <c r="CA27" i="2" s="1"/>
  <c r="CB27" i="2" s="1"/>
  <c r="CC27" i="2" s="1"/>
  <c r="CD27" i="2" s="1"/>
  <c r="CE27" i="2" s="1"/>
  <c r="CF27" i="2" s="1"/>
  <c r="CG27" i="2" s="1"/>
  <c r="CH27" i="2" s="1"/>
  <c r="CI27" i="2" s="1"/>
  <c r="CJ27" i="2" s="1"/>
  <c r="CK27" i="2" s="1"/>
  <c r="CL27" i="2" s="1"/>
  <c r="CM27" i="2" s="1"/>
  <c r="CN27" i="2" s="1"/>
  <c r="CO27" i="2" s="1"/>
  <c r="CP27" i="2" s="1"/>
  <c r="CQ27" i="2" s="1"/>
  <c r="CR27" i="2" s="1"/>
  <c r="CS27" i="2" s="1"/>
  <c r="CT27" i="2" s="1"/>
  <c r="CU27" i="2" s="1"/>
  <c r="CV27" i="2" s="1"/>
  <c r="CW27" i="2" s="1"/>
  <c r="CX27" i="2" s="1"/>
  <c r="CY27" i="2" s="1"/>
  <c r="CZ27" i="2" s="1"/>
  <c r="DA27" i="2" s="1"/>
  <c r="DB27" i="2" s="1"/>
  <c r="DC27" i="2" s="1"/>
  <c r="DD27" i="2" s="1"/>
  <c r="DE27" i="2" s="1"/>
  <c r="DF27" i="2" s="1"/>
  <c r="DG27" i="2" s="1"/>
  <c r="DH27" i="2" s="1"/>
  <c r="DI27" i="2" s="1"/>
  <c r="DJ27" i="2" s="1"/>
  <c r="DK27" i="2" s="1"/>
  <c r="DL27" i="2" s="1"/>
  <c r="DM27" i="2" s="1"/>
  <c r="DN27" i="2" s="1"/>
  <c r="DO27" i="2" s="1"/>
  <c r="DP27" i="2" s="1"/>
  <c r="DQ27" i="2" s="1"/>
  <c r="DR27" i="2" s="1"/>
  <c r="DS27" i="2" s="1"/>
  <c r="DT27" i="2" s="1"/>
  <c r="DU27" i="2" s="1"/>
  <c r="DV27" i="2" s="1"/>
  <c r="DW27" i="2" s="1"/>
  <c r="DX27" i="2" s="1"/>
  <c r="DY27" i="2" s="1"/>
  <c r="DZ27" i="2" s="1"/>
  <c r="EA27" i="2" s="1"/>
  <c r="EB27" i="2" s="1"/>
  <c r="EC27" i="2" s="1"/>
  <c r="ED27" i="2" s="1"/>
  <c r="EE27" i="2" s="1"/>
  <c r="EF27" i="2" s="1"/>
  <c r="EG27" i="2" s="1"/>
  <c r="EH27" i="2" s="1"/>
  <c r="EI27" i="2" s="1"/>
  <c r="EJ27" i="2" s="1"/>
  <c r="EK27" i="2" s="1"/>
  <c r="EL27" i="2" s="1"/>
  <c r="EM27" i="2" s="1"/>
  <c r="EN27" i="2" s="1"/>
  <c r="EO27" i="2" s="1"/>
  <c r="EP27" i="2" s="1"/>
  <c r="EQ27" i="2" s="1"/>
  <c r="ER27" i="2" s="1"/>
  <c r="ES27" i="2" s="1"/>
  <c r="ET27" i="2" s="1"/>
  <c r="EU27" i="2" s="1"/>
  <c r="EV27" i="2" s="1"/>
  <c r="EW27" i="2" s="1"/>
  <c r="AJ29" i="2" l="1"/>
  <c r="AJ45" i="2"/>
  <c r="Y20" i="2"/>
  <c r="Y21" i="2" s="1"/>
  <c r="Y25" i="2" s="1"/>
  <c r="M21" i="2"/>
  <c r="M25" i="2" s="1"/>
  <c r="M43" i="2" l="1"/>
  <c r="Y43" i="2"/>
  <c r="Y39" i="2"/>
  <c r="M39" i="2"/>
  <c r="M44" i="2" l="1"/>
  <c r="Y26" i="2"/>
  <c r="M27" i="2"/>
  <c r="M29" i="2" l="1"/>
  <c r="M45" i="2"/>
  <c r="Y44" i="2"/>
  <c r="Y27" i="2"/>
  <c r="Y45" i="2" l="1"/>
  <c r="Y29" i="2"/>
  <c r="Z21" i="2"/>
  <c r="Z25" i="2" s="1"/>
  <c r="Z43" i="2" l="1"/>
  <c r="Z44" i="2"/>
  <c r="Z27" i="2"/>
  <c r="Z39" i="2"/>
  <c r="Z29" i="2" l="1"/>
  <c r="Z45" i="2"/>
  <c r="AN41" i="2"/>
  <c r="AN43" i="2" s="1"/>
  <c r="AN44" i="2" s="1"/>
  <c r="AN46" i="2" s="1"/>
</calcChain>
</file>

<file path=xl/sharedStrings.xml><?xml version="1.0" encoding="utf-8"?>
<sst xmlns="http://schemas.openxmlformats.org/spreadsheetml/2006/main" count="80" uniqueCount="78">
  <si>
    <t>AXP</t>
  </si>
  <si>
    <t>Price</t>
  </si>
  <si>
    <t>Shares</t>
  </si>
  <si>
    <t>MC</t>
  </si>
  <si>
    <t>Cash</t>
  </si>
  <si>
    <t>Debt</t>
  </si>
  <si>
    <t>Net Cash</t>
  </si>
  <si>
    <t>EV</t>
  </si>
  <si>
    <t>Last checked</t>
  </si>
  <si>
    <t>Today</t>
  </si>
  <si>
    <t>Earnings</t>
  </si>
  <si>
    <t>Q122</t>
  </si>
  <si>
    <t>Discount revenue</t>
  </si>
  <si>
    <t>Card revenue</t>
  </si>
  <si>
    <t>Service revenue</t>
  </si>
  <si>
    <t>Processed revenue</t>
  </si>
  <si>
    <t>Total non-interest revenue</t>
  </si>
  <si>
    <t>Interest expense</t>
  </si>
  <si>
    <t>Net interest income</t>
  </si>
  <si>
    <t>Card receivables cost</t>
  </si>
  <si>
    <t>Card loans cost</t>
  </si>
  <si>
    <t>Other cost</t>
  </si>
  <si>
    <t>Total credit cost</t>
  </si>
  <si>
    <t>Total revenue</t>
  </si>
  <si>
    <t>Card reward cost</t>
  </si>
  <si>
    <t>Business development cost</t>
  </si>
  <si>
    <t>Card services cost</t>
  </si>
  <si>
    <t>Total cost of sales</t>
  </si>
  <si>
    <t>Gross profit</t>
  </si>
  <si>
    <t>S&amp;M</t>
  </si>
  <si>
    <t>G&amp;A</t>
  </si>
  <si>
    <t>Other operating expense</t>
  </si>
  <si>
    <t>Operating profit</t>
  </si>
  <si>
    <t>Taxes</t>
  </si>
  <si>
    <t>Net profit</t>
  </si>
  <si>
    <t>EPS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</si>
  <si>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</si>
  <si>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</si>
  <si>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</si>
  <si>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</si>
  <si>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</si>
  <si>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</si>
  <si>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</si>
  <si>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</si>
  <si>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</si>
  <si>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</si>
  <si>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</si>
  <si>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Revenue y/y</t>
  </si>
  <si>
    <t>Gross Margin</t>
  </si>
  <si>
    <t>S&amp;M Margin</t>
  </si>
  <si>
    <t>G&amp;A y/y</t>
  </si>
  <si>
    <t>Other Operating Margin</t>
  </si>
  <si>
    <t>Operating Margin</t>
  </si>
  <si>
    <t>Net Margin</t>
  </si>
  <si>
    <t>Maturity</t>
  </si>
  <si>
    <t>Discount rate</t>
  </si>
  <si>
    <t>NPV</t>
  </si>
  <si>
    <t>Net cash</t>
  </si>
  <si>
    <t>Value</t>
  </si>
  <si>
    <t>Per share</t>
  </si>
  <si>
    <t>Current price</t>
  </si>
  <si>
    <t>Variance</t>
  </si>
  <si>
    <t>Consensus</t>
  </si>
  <si>
    <t>8K's</t>
  </si>
  <si>
    <t>Interest revenue</t>
  </si>
  <si>
    <t>Interest revenue y/y</t>
  </si>
  <si>
    <t>Net interest income y/y</t>
  </si>
  <si>
    <t>Discount revenue y/y</t>
  </si>
  <si>
    <t>Card revenue y/y</t>
  </si>
  <si>
    <t>Service revenue y/y</t>
  </si>
  <si>
    <t>Processed revenue y/y</t>
  </si>
  <si>
    <t>Interest expense y/y</t>
  </si>
  <si>
    <t>Q125</t>
  </si>
  <si>
    <t>Q225</t>
  </si>
  <si>
    <t>Q325</t>
  </si>
  <si>
    <t>Q425</t>
  </si>
  <si>
    <t>Slightly undervalued</t>
  </si>
  <si>
    <t>Total service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</si>
</sst>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2" borderId="1" xfId="0" applyFont="1" applyFill="1" applyBorder="1"/>
    <xf numFmtId="0" fontId="3" fillId="2" borderId="1" xfId="0" applyFont="1" applyFill="1" applyBorder="1" applyAlignment="1">
      <alignment horizontal="right"/>
    </xf>
    <xf numFmtId="3" fontId="3" fillId="2" borderId="1" xfId="0" applyNumberFormat="1" applyFont="1" applyFill="1" applyBorder="1"/>
    <xf numFmtId="0" fontId="2" fillId="2" borderId="1" xfId="0" applyFont="1" applyFill="1" applyBorder="1"/>
    <xf numFmtId="3" fontId="2" fillId="2" borderId="1" xfId="0" applyNumberFormat="1" applyFont="1" applyFill="1" applyBorder="1"/>
    <xf numFmtId="2" fontId="3" fillId="2" borderId="1" xfId="0" applyNumberFormat="1" applyFont="1" applyFill="1" applyBorder="1"/>
    <xf numFmtId="9" fontId="3" fillId="2" borderId="1" xfId="0" applyNumberFormat="1" applyFont="1" applyFill="1" applyBorder="1"/>
    <xf numFmtId="164" fontId="3" fillId="2" borderId="1" xfId="0" applyNumberFormat="1" applyFont="1" applyFill="1" applyBorder="1"/>
    <xf numFmtId="9" fontId="2" fillId="2" borderId="1" xfId="0" applyNumberFormat="1" applyFont="1" applyFill="1" applyBorder="1"/>
    <xf numFmtId="0" fontId="4" fillId="2" borderId="1" xfId="0" applyFont="1" applyFill="1" applyBorder="1" applyAlignment="1">
      <alignment horizontal="right"/>
    </xf>
    <xf numFmtId="14" fontId="4" fillId="2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30480</xdr:colOff>
      <xdr:row>0</xdr:row>
      <xdr:rowOff>0</xdr:rowOff>
    </xdr:from>
    <xdr:to>
      <xdr:col>14</xdr:col>
      <xdr:colOff>30480</xdr:colOff>
      <xdr:row>50</xdr:row>
      <xdr:rowOff>91440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4BA1ECD-0315-5472-F057-71D2EFC24C4C}"/>
            </a:ext>
          </a:extLst>
        </xdr:cNvPr>
        <xdr:cNvCxnSpPr/>
      </xdr:nvCxnSpPr>
      <xdr:spPr>
        <a:xfrm>
          <a:off x="9547860" y="0"/>
          <a:ext cx="0" cy="90525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22860</xdr:colOff>
      <xdr:row>0</xdr:row>
      <xdr:rowOff>7620</xdr:rowOff>
    </xdr:from>
    <xdr:to>
      <xdr:col>25</xdr:col>
      <xdr:colOff>22860</xdr:colOff>
      <xdr:row>50</xdr:row>
      <xdr:rowOff>106680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62E0E11F-EA8F-E41A-02F0-9A00BCE92533}"/>
            </a:ext>
          </a:extLst>
        </xdr:cNvPr>
        <xdr:cNvCxnSpPr/>
      </xdr:nvCxnSpPr>
      <xdr:spPr>
        <a:xfrm>
          <a:off x="16245840" y="7620"/>
          <a:ext cx="0" cy="90601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B9741-E8A3-4841-A071-3B52DDC4EF5E}">
  <dimension ref="B2:K9"/>
  <sheetViews>
    <sheetView workbookViewId="0">
      <selection activeCell="D7" sqref="D7"/>
    </sheetView>
  </sheetViews>
  <sheetFormatPr defaultRowHeight="14.4" x14ac:dyDescent="0.3"/>
  <cols>
    <col min="1" max="5" width="8.88671875" style="1"/>
    <col min="6" max="8" width="13.88671875" style="1" customWidth="1"/>
    <col min="9" max="16384" width="8.88671875" style="1"/>
  </cols>
  <sheetData>
    <row r="2" spans="2:11" x14ac:dyDescent="0.3">
      <c r="F2" s="10" t="s">
        <v>8</v>
      </c>
      <c r="G2" s="10" t="s">
        <v>9</v>
      </c>
      <c r="H2" s="10" t="s">
        <v>10</v>
      </c>
    </row>
    <row r="3" spans="2:11" x14ac:dyDescent="0.3">
      <c r="B3" s="4" t="s">
        <v>0</v>
      </c>
      <c r="C3" s="1" t="s">
        <v>1</v>
      </c>
      <c r="D3" s="8">
        <v>245.15</v>
      </c>
      <c r="F3" s="11">
        <v>45769</v>
      </c>
      <c r="G3" s="11">
        <f ca="1">TODAY()</f>
        <v>45782</v>
      </c>
      <c r="H3" s="11">
        <v>45856</v>
      </c>
    </row>
    <row r="4" spans="2:11" x14ac:dyDescent="0.3">
      <c r="C4" s="1" t="s">
        <v>2</v>
      </c>
      <c r="D4" s="3">
        <f>700.6</f>
        <v>700.6</v>
      </c>
    </row>
    <row r="5" spans="2:11" x14ac:dyDescent="0.3">
      <c r="C5" s="1" t="s">
        <v>3</v>
      </c>
      <c r="D5" s="3">
        <f>D3*D4</f>
        <v>171752.09</v>
      </c>
    </row>
    <row r="6" spans="2:11" x14ac:dyDescent="0.3">
      <c r="C6" s="1" t="s">
        <v>4</v>
      </c>
      <c r="D6" s="3">
        <f>52508</f>
        <v>52508</v>
      </c>
      <c r="K6" s="1" t="s">
        <v>63</v>
      </c>
    </row>
    <row r="7" spans="2:11" x14ac:dyDescent="0.3">
      <c r="C7" s="1" t="s">
        <v>5</v>
      </c>
      <c r="D7" s="3">
        <f>1559+51236</f>
        <v>52795</v>
      </c>
    </row>
    <row r="8" spans="2:11" x14ac:dyDescent="0.3">
      <c r="C8" s="1" t="s">
        <v>6</v>
      </c>
      <c r="D8" s="3">
        <f>D6-D7</f>
        <v>-287</v>
      </c>
    </row>
    <row r="9" spans="2:11" x14ac:dyDescent="0.3">
      <c r="C9" s="1" t="s">
        <v>7</v>
      </c>
      <c r="D9" s="3">
        <f>D5-D8</f>
        <v>172039.09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F8585-B7C9-4C20-B3A9-DB115F7ADBCB}">
  <dimension ref="B2:EW47"/>
  <sheetViews>
    <sheetView tabSelected="1" workbookViewId="0">
      <pane xSplit="2" ySplit="2" topLeftCell="T24" activePane="bottomRight" state="frozen"/>
      <selection pane="topRight" activeCell="C1" sqref="C1"/>
      <selection pane="bottomLeft" activeCell="A3" sqref="A3"/>
      <selection pane="bottomRight" activeCell="Z41" sqref="Z41"/>
    </sheetView>
  </sheetViews>
  <sheetFormatPr defaultRowHeight="14.4" x14ac:dyDescent="0.3"/>
  <cols>
    <col min="1" max="1" width="8.88671875" style="1"/>
    <col min="2" max="2" width="23.21875" style="1" bestFit="1" customWidth="1"/>
    <col min="3" max="38" width="8.88671875" style="1"/>
    <col min="39" max="39" width="13.33203125" style="1" customWidth="1"/>
    <col min="40" max="40" width="18.44140625" style="1" customWidth="1"/>
    <col min="41" max="16384" width="8.88671875" style="1"/>
  </cols>
  <sheetData>
    <row r="2" spans="2:36" x14ac:dyDescent="0.3">
      <c r="C2" s="2" t="s">
        <v>11</v>
      </c>
      <c r="D2" s="2" t="s">
        <v>36</v>
      </c>
      <c r="E2" s="2" t="s">
        <v>37</v>
      </c>
      <c r="F2" s="2" t="s">
        <v>38</v>
      </c>
      <c r="G2" s="2" t="s">
        <v>39</v>
      </c>
      <c r="H2" s="2" t="s">
        <v>40</v>
      </c>
      <c r="I2" s="2" t="s">
        <v>41</v>
      </c>
      <c r="J2" s="2" t="s">
        <v>42</v>
      </c>
      <c r="K2" s="2" t="s">
        <v>43</v>
      </c>
      <c r="L2" s="2" t="s">
        <v>44</v>
      </c>
      <c r="M2" s="2" t="s">
        <v>45</v>
      </c>
      <c r="N2" s="2" t="s">
        <v>46</v>
      </c>
      <c r="O2" s="2" t="s">
        <v>72</v>
      </c>
      <c r="P2" s="2" t="s">
        <v>73</v>
      </c>
      <c r="Q2" s="2" t="s">
        <v>74</v>
      </c>
      <c r="R2" s="2" t="s">
        <v>75</v>
      </c>
      <c r="T2" s="1">
        <v>2019</v>
      </c>
      <c r="U2" s="1">
        <v>2020</v>
      </c>
      <c r="V2" s="1">
        <v>2021</v>
      </c>
      <c r="W2" s="1">
        <v>2022</v>
      </c>
      <c r="X2" s="1">
        <v>2023</v>
      </c>
      <c r="Y2" s="1">
        <v>2024</v>
      </c>
      <c r="Z2" s="1">
        <v>2025</v>
      </c>
      <c r="AA2" s="1">
        <v>2026</v>
      </c>
      <c r="AB2" s="1">
        <v>2027</v>
      </c>
      <c r="AC2" s="1">
        <v>2028</v>
      </c>
      <c r="AD2" s="1">
        <v>2029</v>
      </c>
      <c r="AE2" s="1">
        <v>2030</v>
      </c>
      <c r="AF2" s="1">
        <v>2031</v>
      </c>
      <c r="AG2" s="1">
        <v>2032</v>
      </c>
      <c r="AH2" s="1">
        <v>2033</v>
      </c>
      <c r="AI2" s="1">
        <v>2034</v>
      </c>
      <c r="AJ2" s="1">
        <v>2035</v>
      </c>
    </row>
    <row r="3" spans="2:36" x14ac:dyDescent="0.3">
      <c r="B3" s="1" t="s">
        <v>12</v>
      </c>
      <c r="C3" s="3">
        <v>6835</v>
      </c>
      <c r="D3" s="3">
        <v>7873</v>
      </c>
      <c r="E3" s="3">
        <v>7848</v>
      </c>
      <c r="F3" s="3">
        <v>8183</v>
      </c>
      <c r="G3" s="3">
        <v>7947</v>
      </c>
      <c r="H3" s="3">
        <v>8481</v>
      </c>
      <c r="I3" s="3">
        <v>8408</v>
      </c>
      <c r="J3" s="3">
        <v>8580</v>
      </c>
      <c r="K3" s="3">
        <v>8380</v>
      </c>
      <c r="L3" s="3">
        <v>8855</v>
      </c>
      <c r="M3" s="3">
        <v>8780</v>
      </c>
      <c r="N3" s="3">
        <v>9177</v>
      </c>
      <c r="O3" s="3">
        <v>8743</v>
      </c>
      <c r="P3" s="3">
        <f t="shared" ref="P3:Q3" si="0">L3*1.06</f>
        <v>9386.3000000000011</v>
      </c>
      <c r="Q3" s="3">
        <f t="shared" si="0"/>
        <v>9306.8000000000011</v>
      </c>
      <c r="R3" s="3">
        <f>N3*1.04</f>
        <v>9544.08</v>
      </c>
      <c r="V3" s="3">
        <v>17414</v>
      </c>
      <c r="W3" s="3">
        <f>SUM(C3:F3)</f>
        <v>30739</v>
      </c>
      <c r="X3" s="3">
        <f>SUM(G3:J3)</f>
        <v>33416</v>
      </c>
      <c r="Y3" s="3">
        <f>SUM(K3:N3)</f>
        <v>35192</v>
      </c>
      <c r="Z3" s="3">
        <f>SUM(O3:R3)</f>
        <v>36980.180000000008</v>
      </c>
      <c r="AA3" s="3">
        <f>Z3*1.02</f>
        <v>37719.78360000001</v>
      </c>
      <c r="AB3" s="3">
        <f>AA3*1.01</f>
        <v>38096.981436000009</v>
      </c>
      <c r="AC3" s="3">
        <f t="shared" ref="AC3:AJ3" si="1">AB3*1.01</f>
        <v>38477.951250360013</v>
      </c>
      <c r="AD3" s="3">
        <f t="shared" si="1"/>
        <v>38862.730762863612</v>
      </c>
      <c r="AE3" s="3">
        <f t="shared" si="1"/>
        <v>39251.35807049225</v>
      </c>
      <c r="AF3" s="3">
        <f t="shared" si="1"/>
        <v>39643.871651197172</v>
      </c>
      <c r="AG3" s="3">
        <f t="shared" si="1"/>
        <v>40040.310367709142</v>
      </c>
      <c r="AH3" s="3">
        <f t="shared" si="1"/>
        <v>40440.713471386232</v>
      </c>
      <c r="AI3" s="3">
        <f t="shared" si="1"/>
        <v>40845.120606100092</v>
      </c>
      <c r="AJ3" s="3">
        <f t="shared" si="1"/>
        <v>41253.571812161092</v>
      </c>
    </row>
    <row r="4" spans="2:36" x14ac:dyDescent="0.3">
      <c r="B4" s="1" t="s">
        <v>13</v>
      </c>
      <c r="C4" s="3">
        <v>1423</v>
      </c>
      <c r="D4" s="3">
        <v>1481</v>
      </c>
      <c r="E4" s="3">
        <v>1541</v>
      </c>
      <c r="F4" s="3">
        <v>1625</v>
      </c>
      <c r="G4" s="3">
        <v>1713</v>
      </c>
      <c r="H4" s="3">
        <v>1789</v>
      </c>
      <c r="I4" s="3">
        <v>1846</v>
      </c>
      <c r="J4" s="3">
        <v>1907</v>
      </c>
      <c r="K4" s="3">
        <v>1974</v>
      </c>
      <c r="L4" s="3">
        <v>2060</v>
      </c>
      <c r="M4" s="3">
        <v>2170</v>
      </c>
      <c r="N4" s="3">
        <v>2245</v>
      </c>
      <c r="O4" s="3">
        <v>2333</v>
      </c>
      <c r="P4" s="3">
        <f>L4*1.16</f>
        <v>2389.6</v>
      </c>
      <c r="Q4" s="3">
        <f>M4*1.15</f>
        <v>2495.5</v>
      </c>
      <c r="R4" s="3">
        <f>N4*1.13</f>
        <v>2536.85</v>
      </c>
      <c r="V4" s="3">
        <v>3851</v>
      </c>
      <c r="W4" s="3">
        <f>SUM(C4:F4)</f>
        <v>6070</v>
      </c>
      <c r="X4" s="3">
        <f>SUM(G4:J4)</f>
        <v>7255</v>
      </c>
      <c r="Y4" s="3">
        <f>SUM(K4:N4)</f>
        <v>8449</v>
      </c>
      <c r="Z4" s="3">
        <f>SUM(O4:R4)</f>
        <v>9754.9500000000007</v>
      </c>
      <c r="AA4" s="3">
        <f>Z4*1.09</f>
        <v>10632.895500000002</v>
      </c>
      <c r="AB4" s="3">
        <f>AA4*1.07</f>
        <v>11377.198185000003</v>
      </c>
      <c r="AC4" s="3">
        <f>AB4*1.05</f>
        <v>11946.058094250004</v>
      </c>
      <c r="AD4" s="3">
        <f>AC4*1.04</f>
        <v>12423.900418020005</v>
      </c>
      <c r="AE4" s="3">
        <f>AD4*1.03</f>
        <v>12796.617430560605</v>
      </c>
      <c r="AF4" s="3">
        <f t="shared" ref="AF4:AJ4" si="2">AE4*1.02</f>
        <v>13052.549779171817</v>
      </c>
      <c r="AG4" s="3">
        <f t="shared" si="2"/>
        <v>13313.600774755254</v>
      </c>
      <c r="AH4" s="3">
        <f t="shared" si="2"/>
        <v>13579.87279025036</v>
      </c>
      <c r="AI4" s="3">
        <f t="shared" si="2"/>
        <v>13851.470246055367</v>
      </c>
      <c r="AJ4" s="3">
        <f t="shared" si="2"/>
        <v>14128.499650976475</v>
      </c>
    </row>
    <row r="5" spans="2:36" x14ac:dyDescent="0.3">
      <c r="B5" s="1" t="s">
        <v>14</v>
      </c>
      <c r="C5" s="3">
        <v>906</v>
      </c>
      <c r="D5" s="3">
        <v>1265</v>
      </c>
      <c r="E5" s="3">
        <v>1169</v>
      </c>
      <c r="F5" s="3">
        <v>1181</v>
      </c>
      <c r="G5" s="3">
        <v>1218</v>
      </c>
      <c r="H5" s="3">
        <v>1232</v>
      </c>
      <c r="I5" s="3">
        <v>1261</v>
      </c>
      <c r="J5" s="3">
        <v>1294</v>
      </c>
      <c r="K5" s="3">
        <v>1292</v>
      </c>
      <c r="L5" s="3">
        <v>1280</v>
      </c>
      <c r="M5" s="3">
        <v>1267</v>
      </c>
      <c r="N5" s="3">
        <v>1290</v>
      </c>
      <c r="O5" s="3"/>
      <c r="P5" s="3">
        <f>L5*1.02</f>
        <v>1305.5999999999999</v>
      </c>
      <c r="Q5" s="3">
        <f>M5*1.02</f>
        <v>1292.3399999999999</v>
      </c>
      <c r="R5" s="3">
        <f>N5*1.02</f>
        <v>1315.8</v>
      </c>
      <c r="V5" s="3">
        <v>2182</v>
      </c>
      <c r="W5" s="3">
        <f>SUM(C5:F5)</f>
        <v>4521</v>
      </c>
      <c r="X5" s="3">
        <f>SUM(G5:J5)</f>
        <v>5005</v>
      </c>
      <c r="Y5" s="3">
        <f>SUM(K5:N5)</f>
        <v>5129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2:36" x14ac:dyDescent="0.3">
      <c r="B6" s="1" t="s">
        <v>15</v>
      </c>
      <c r="C6" s="3">
        <v>372</v>
      </c>
      <c r="D6" s="3">
        <v>416</v>
      </c>
      <c r="E6" s="3">
        <v>420</v>
      </c>
      <c r="F6" s="3">
        <v>429</v>
      </c>
      <c r="G6" s="3">
        <v>420</v>
      </c>
      <c r="H6" s="3">
        <v>447</v>
      </c>
      <c r="I6" s="3">
        <v>424</v>
      </c>
      <c r="J6" s="3">
        <v>414</v>
      </c>
      <c r="K6" s="3">
        <v>386</v>
      </c>
      <c r="L6" s="3">
        <v>408</v>
      </c>
      <c r="M6" s="3">
        <v>413</v>
      </c>
      <c r="N6" s="3">
        <v>429</v>
      </c>
      <c r="O6" s="3"/>
      <c r="P6" s="3">
        <f>L6*1.04</f>
        <v>424.32</v>
      </c>
      <c r="Q6" s="3">
        <f>M6*1.04</f>
        <v>429.52000000000004</v>
      </c>
      <c r="R6" s="3">
        <f>N6*1.02</f>
        <v>437.58</v>
      </c>
      <c r="V6" s="3">
        <v>1146</v>
      </c>
      <c r="W6" s="3">
        <f>SUM(C6:F6)</f>
        <v>1637</v>
      </c>
      <c r="X6" s="3">
        <f>SUM(G6:J6)</f>
        <v>1705</v>
      </c>
      <c r="Y6" s="3">
        <f>SUM(K6:N6)</f>
        <v>1636</v>
      </c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2:36" x14ac:dyDescent="0.3">
      <c r="B7" s="1" t="s">
        <v>77</v>
      </c>
      <c r="C7" s="3"/>
      <c r="D7" s="3"/>
      <c r="E7" s="3"/>
      <c r="F7" s="3"/>
      <c r="G7" s="3"/>
      <c r="H7" s="3"/>
      <c r="I7" s="3"/>
      <c r="J7" s="3"/>
      <c r="K7" s="3">
        <f>K5+K6</f>
        <v>1678</v>
      </c>
      <c r="L7" s="3"/>
      <c r="M7" s="3"/>
      <c r="N7" s="3"/>
      <c r="O7" s="3">
        <v>1722</v>
      </c>
      <c r="P7" s="3">
        <f t="shared" ref="P7:R7" si="3">P5+P6</f>
        <v>1729.9199999999998</v>
      </c>
      <c r="Q7" s="3">
        <f t="shared" si="3"/>
        <v>1721.86</v>
      </c>
      <c r="R7" s="3">
        <f t="shared" si="3"/>
        <v>1753.3799999999999</v>
      </c>
      <c r="V7" s="3"/>
      <c r="W7" s="3"/>
      <c r="X7" s="3"/>
      <c r="Y7" s="3">
        <f>Y5+Y6</f>
        <v>6765</v>
      </c>
      <c r="Z7" s="3">
        <f>SUM(O7:R7)</f>
        <v>6927.16</v>
      </c>
      <c r="AA7" s="3">
        <f>Z7*1.02</f>
        <v>7065.7031999999999</v>
      </c>
      <c r="AB7" s="3">
        <f>AA7*1.01</f>
        <v>7136.360232</v>
      </c>
      <c r="AC7" s="3">
        <f t="shared" ref="AC7:AJ7" si="4">AB7*1.01</f>
        <v>7207.7238343199997</v>
      </c>
      <c r="AD7" s="3">
        <f t="shared" si="4"/>
        <v>7279.8010726632001</v>
      </c>
      <c r="AE7" s="3">
        <f t="shared" si="4"/>
        <v>7352.5990833898322</v>
      </c>
      <c r="AF7" s="3">
        <f t="shared" si="4"/>
        <v>7426.1250742237307</v>
      </c>
      <c r="AG7" s="3">
        <f t="shared" si="4"/>
        <v>7500.386324965968</v>
      </c>
      <c r="AH7" s="3">
        <f t="shared" si="4"/>
        <v>7575.3901882156279</v>
      </c>
      <c r="AI7" s="3">
        <f t="shared" si="4"/>
        <v>7651.1440900977841</v>
      </c>
      <c r="AJ7" s="3">
        <f t="shared" si="4"/>
        <v>7727.6555309987616</v>
      </c>
    </row>
    <row r="8" spans="2:36" x14ac:dyDescent="0.3">
      <c r="B8" s="1" t="s">
        <v>16</v>
      </c>
      <c r="C8" s="3">
        <f t="shared" ref="C8:N8" si="5">SUM(C3:C6)</f>
        <v>9536</v>
      </c>
      <c r="D8" s="3">
        <f t="shared" si="5"/>
        <v>11035</v>
      </c>
      <c r="E8" s="3">
        <f t="shared" si="5"/>
        <v>10978</v>
      </c>
      <c r="F8" s="3">
        <f t="shared" si="5"/>
        <v>11418</v>
      </c>
      <c r="G8" s="3">
        <f t="shared" si="5"/>
        <v>11298</v>
      </c>
      <c r="H8" s="3">
        <f t="shared" si="5"/>
        <v>11949</v>
      </c>
      <c r="I8" s="3">
        <f t="shared" si="5"/>
        <v>11939</v>
      </c>
      <c r="J8" s="3">
        <f t="shared" si="5"/>
        <v>12195</v>
      </c>
      <c r="K8" s="3">
        <f t="shared" si="5"/>
        <v>12032</v>
      </c>
      <c r="L8" s="3">
        <f t="shared" si="5"/>
        <v>12603</v>
      </c>
      <c r="M8" s="3">
        <f t="shared" si="5"/>
        <v>12630</v>
      </c>
      <c r="N8" s="3">
        <f t="shared" si="5"/>
        <v>13141</v>
      </c>
      <c r="O8" s="3">
        <f>SUM(O3:O7)</f>
        <v>12798</v>
      </c>
      <c r="P8" s="3">
        <f t="shared" ref="P8:R8" si="6">P3+P4+P7</f>
        <v>13505.820000000002</v>
      </c>
      <c r="Q8" s="3">
        <f t="shared" si="6"/>
        <v>13524.160000000002</v>
      </c>
      <c r="R8" s="3">
        <f t="shared" si="6"/>
        <v>13834.31</v>
      </c>
      <c r="V8" s="3">
        <f>SUM(V3:V6)</f>
        <v>24593</v>
      </c>
      <c r="W8" s="3">
        <f>SUM(W3:W6)</f>
        <v>42967</v>
      </c>
      <c r="X8" s="3">
        <f>SUM(X3:X6)</f>
        <v>47381</v>
      </c>
      <c r="Y8" s="3">
        <f>SUM(Y3:Y7)</f>
        <v>57171</v>
      </c>
      <c r="Z8" s="3">
        <f t="shared" ref="Z8:AJ8" si="7">SUM(Z3:Z7)</f>
        <v>53662.290000000008</v>
      </c>
      <c r="AA8" s="3">
        <f t="shared" si="7"/>
        <v>55418.382300000012</v>
      </c>
      <c r="AB8" s="3">
        <f t="shared" si="7"/>
        <v>56610.539853000009</v>
      </c>
      <c r="AC8" s="3">
        <f t="shared" si="7"/>
        <v>57631.733178930015</v>
      </c>
      <c r="AD8" s="3">
        <f t="shared" si="7"/>
        <v>58566.432253546816</v>
      </c>
      <c r="AE8" s="3">
        <f t="shared" si="7"/>
        <v>59400.574584442686</v>
      </c>
      <c r="AF8" s="3">
        <f t="shared" si="7"/>
        <v>60122.546504592719</v>
      </c>
      <c r="AG8" s="3">
        <f t="shared" si="7"/>
        <v>60854.297467430362</v>
      </c>
      <c r="AH8" s="3">
        <f t="shared" si="7"/>
        <v>61595.97644985222</v>
      </c>
      <c r="AI8" s="3">
        <f t="shared" si="7"/>
        <v>62347.734942253242</v>
      </c>
      <c r="AJ8" s="3">
        <f t="shared" si="7"/>
        <v>63109.726994136327</v>
      </c>
    </row>
    <row r="9" spans="2:36" x14ac:dyDescent="0.3">
      <c r="B9" s="1" t="s">
        <v>64</v>
      </c>
      <c r="C9" s="3">
        <v>2520</v>
      </c>
      <c r="D9" s="3">
        <v>2799</v>
      </c>
      <c r="E9" s="3">
        <v>3374</v>
      </c>
      <c r="F9" s="3">
        <v>3965</v>
      </c>
      <c r="G9" s="3">
        <v>4416</v>
      </c>
      <c r="H9" s="3">
        <v>4775</v>
      </c>
      <c r="I9" s="3">
        <v>5240</v>
      </c>
      <c r="J9" s="3">
        <v>5552</v>
      </c>
      <c r="K9" s="3">
        <v>5775</v>
      </c>
      <c r="L9" s="3">
        <v>5794</v>
      </c>
      <c r="M9" s="3">
        <v>6149</v>
      </c>
      <c r="N9" s="3">
        <v>6077</v>
      </c>
      <c r="O9" s="3">
        <v>6135</v>
      </c>
      <c r="P9" s="3">
        <f>L9*1.06</f>
        <v>6141.64</v>
      </c>
      <c r="Q9" s="3">
        <f>M9*1.02</f>
        <v>6271.9800000000005</v>
      </c>
      <c r="R9" s="3">
        <f>N9*1.04</f>
        <v>6320.08</v>
      </c>
      <c r="V9" s="3">
        <v>6633</v>
      </c>
      <c r="W9" s="3">
        <f>SUM(C9:F9)</f>
        <v>12658</v>
      </c>
      <c r="X9" s="3">
        <f>SUM(G9:J9)</f>
        <v>19983</v>
      </c>
      <c r="Y9" s="3">
        <f>SUM(K9:N9)</f>
        <v>23795</v>
      </c>
      <c r="Z9" s="3">
        <f>SUM(O9:R9)</f>
        <v>24868.699999999997</v>
      </c>
      <c r="AA9" s="3">
        <f>Z9*1.05</f>
        <v>26112.134999999998</v>
      </c>
      <c r="AB9" s="3">
        <f>AA9*1.03</f>
        <v>26895.499049999999</v>
      </c>
      <c r="AC9" s="3">
        <f>AB9*1.02</f>
        <v>27433.409030999999</v>
      </c>
      <c r="AD9" s="3">
        <f>AC9*1.01</f>
        <v>27707.743121309999</v>
      </c>
      <c r="AE9" s="3">
        <f t="shared" ref="AE9:AJ9" si="8">AD9*1.01</f>
        <v>27984.820552523099</v>
      </c>
      <c r="AF9" s="3">
        <f t="shared" si="8"/>
        <v>28264.66875804833</v>
      </c>
      <c r="AG9" s="3">
        <f t="shared" si="8"/>
        <v>28547.315445628814</v>
      </c>
      <c r="AH9" s="3">
        <f t="shared" si="8"/>
        <v>28832.788600085103</v>
      </c>
      <c r="AI9" s="3">
        <f t="shared" si="8"/>
        <v>29121.116486085954</v>
      </c>
      <c r="AJ9" s="3">
        <f t="shared" si="8"/>
        <v>29412.327650946812</v>
      </c>
    </row>
    <row r="10" spans="2:36" x14ac:dyDescent="0.3">
      <c r="B10" s="1" t="s">
        <v>17</v>
      </c>
      <c r="C10" s="3">
        <v>321</v>
      </c>
      <c r="D10" s="3">
        <v>439</v>
      </c>
      <c r="E10" s="3">
        <v>796</v>
      </c>
      <c r="F10" s="3">
        <v>1207</v>
      </c>
      <c r="G10" s="3">
        <v>1433</v>
      </c>
      <c r="H10" s="3">
        <v>1670</v>
      </c>
      <c r="I10" s="3">
        <v>1798</v>
      </c>
      <c r="J10" s="3">
        <v>1948</v>
      </c>
      <c r="K10" s="3">
        <v>2006</v>
      </c>
      <c r="L10" s="3">
        <v>2064</v>
      </c>
      <c r="M10" s="3">
        <v>2143</v>
      </c>
      <c r="N10" s="3">
        <v>2039</v>
      </c>
      <c r="O10" s="3">
        <v>1966</v>
      </c>
      <c r="P10" s="3">
        <f>L10*0.99</f>
        <v>2043.36</v>
      </c>
      <c r="Q10" s="3">
        <f>M10*0.98</f>
        <v>2100.14</v>
      </c>
      <c r="R10" s="3">
        <f t="shared" ref="R10" si="9">N10*0.99</f>
        <v>2018.61</v>
      </c>
      <c r="V10" s="3">
        <v>991</v>
      </c>
      <c r="W10" s="3">
        <f>SUM(C10:F10)</f>
        <v>2763</v>
      </c>
      <c r="X10" s="3">
        <f>SUM(G10:J10)</f>
        <v>6849</v>
      </c>
      <c r="Y10" s="3">
        <f t="shared" ref="Y10" si="10">SUM(K10:N10)</f>
        <v>8252</v>
      </c>
      <c r="Z10" s="3">
        <f>SUM(O10:R10)</f>
        <v>8128.11</v>
      </c>
      <c r="AA10" s="3">
        <f>Z10*1.05</f>
        <v>8534.5154999999995</v>
      </c>
      <c r="AB10" s="3">
        <f>AA10*1.03</f>
        <v>8790.5509650000004</v>
      </c>
      <c r="AC10" s="3">
        <f>AB10*1.02</f>
        <v>8966.3619842999997</v>
      </c>
      <c r="AD10" s="3">
        <f>AC10*1.01</f>
        <v>9056.0256041430002</v>
      </c>
      <c r="AE10" s="3">
        <f t="shared" ref="AE10:AJ10" si="11">AD10*1.01</f>
        <v>9146.5858601844302</v>
      </c>
      <c r="AF10" s="3">
        <f t="shared" si="11"/>
        <v>9238.0517187862752</v>
      </c>
      <c r="AG10" s="3">
        <f t="shared" si="11"/>
        <v>9330.4322359741382</v>
      </c>
      <c r="AH10" s="3">
        <f t="shared" si="11"/>
        <v>9423.7365583338797</v>
      </c>
      <c r="AI10" s="3">
        <f t="shared" si="11"/>
        <v>9517.9739239172177</v>
      </c>
      <c r="AJ10" s="3">
        <f t="shared" si="11"/>
        <v>9613.1536631563904</v>
      </c>
    </row>
    <row r="11" spans="2:36" x14ac:dyDescent="0.3">
      <c r="B11" s="1" t="s">
        <v>18</v>
      </c>
      <c r="C11" s="3">
        <f t="shared" ref="C11:R11" si="12">C9-C10</f>
        <v>2199</v>
      </c>
      <c r="D11" s="3">
        <f t="shared" si="12"/>
        <v>2360</v>
      </c>
      <c r="E11" s="3">
        <f t="shared" si="12"/>
        <v>2578</v>
      </c>
      <c r="F11" s="3">
        <f t="shared" si="12"/>
        <v>2758</v>
      </c>
      <c r="G11" s="3">
        <f t="shared" si="12"/>
        <v>2983</v>
      </c>
      <c r="H11" s="3">
        <f t="shared" si="12"/>
        <v>3105</v>
      </c>
      <c r="I11" s="3">
        <f t="shared" si="12"/>
        <v>3442</v>
      </c>
      <c r="J11" s="3">
        <f t="shared" si="12"/>
        <v>3604</v>
      </c>
      <c r="K11" s="3">
        <f t="shared" si="12"/>
        <v>3769</v>
      </c>
      <c r="L11" s="3">
        <f t="shared" si="12"/>
        <v>3730</v>
      </c>
      <c r="M11" s="3">
        <f t="shared" si="12"/>
        <v>4006</v>
      </c>
      <c r="N11" s="3">
        <f t="shared" si="12"/>
        <v>4038</v>
      </c>
      <c r="O11" s="3">
        <f t="shared" si="12"/>
        <v>4169</v>
      </c>
      <c r="P11" s="3">
        <f t="shared" si="12"/>
        <v>4098.2800000000007</v>
      </c>
      <c r="Q11" s="3">
        <f t="shared" si="12"/>
        <v>4171.84</v>
      </c>
      <c r="R11" s="3">
        <f t="shared" si="12"/>
        <v>4301.47</v>
      </c>
      <c r="V11" s="3">
        <f>V9-V10</f>
        <v>5642</v>
      </c>
      <c r="W11" s="3">
        <f>W9-W10</f>
        <v>9895</v>
      </c>
      <c r="X11" s="3">
        <f>X9-X10</f>
        <v>13134</v>
      </c>
      <c r="Y11" s="3">
        <f t="shared" ref="Y11:AJ11" si="13">Y9-Y10</f>
        <v>15543</v>
      </c>
      <c r="Z11" s="3">
        <f t="shared" si="13"/>
        <v>16740.589999999997</v>
      </c>
      <c r="AA11" s="3">
        <f t="shared" si="13"/>
        <v>17577.619500000001</v>
      </c>
      <c r="AB11" s="3">
        <f t="shared" si="13"/>
        <v>18104.948084999996</v>
      </c>
      <c r="AC11" s="3">
        <f t="shared" si="13"/>
        <v>18467.047046699998</v>
      </c>
      <c r="AD11" s="3">
        <f t="shared" si="13"/>
        <v>18651.717517166999</v>
      </c>
      <c r="AE11" s="3">
        <f t="shared" si="13"/>
        <v>18838.234692338669</v>
      </c>
      <c r="AF11" s="3">
        <f t="shared" si="13"/>
        <v>19026.617039262055</v>
      </c>
      <c r="AG11" s="3">
        <f t="shared" si="13"/>
        <v>19216.883209654676</v>
      </c>
      <c r="AH11" s="3">
        <f t="shared" si="13"/>
        <v>19409.052041751223</v>
      </c>
      <c r="AI11" s="3">
        <f t="shared" si="13"/>
        <v>19603.142562168738</v>
      </c>
      <c r="AJ11" s="3">
        <f t="shared" si="13"/>
        <v>19799.173987790422</v>
      </c>
    </row>
    <row r="12" spans="2:36" x14ac:dyDescent="0.3">
      <c r="B12" s="1" t="s">
        <v>19</v>
      </c>
      <c r="C12" s="3">
        <v>80</v>
      </c>
      <c r="D12" s="3">
        <v>138</v>
      </c>
      <c r="E12" s="3">
        <v>165</v>
      </c>
      <c r="F12" s="3">
        <v>244</v>
      </c>
      <c r="G12" s="3">
        <v>222</v>
      </c>
      <c r="H12" s="3">
        <v>230</v>
      </c>
      <c r="I12" s="3">
        <v>206</v>
      </c>
      <c r="J12" s="3">
        <v>222</v>
      </c>
      <c r="K12" s="3">
        <v>196</v>
      </c>
      <c r="L12" s="3">
        <v>226</v>
      </c>
      <c r="M12" s="3">
        <v>170</v>
      </c>
      <c r="N12" s="3">
        <v>182</v>
      </c>
      <c r="O12" s="3">
        <v>146</v>
      </c>
      <c r="P12" s="3"/>
      <c r="Q12" s="3"/>
      <c r="R12" s="3"/>
      <c r="V12" s="3">
        <v>-147</v>
      </c>
      <c r="W12" s="3">
        <f>SUM(C12:F12)</f>
        <v>627</v>
      </c>
      <c r="X12" s="3">
        <f>SUM(G12:J12)</f>
        <v>880</v>
      </c>
      <c r="Y12" s="3">
        <f>SUM(K12:N12)</f>
        <v>774</v>
      </c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spans="2:36" x14ac:dyDescent="0.3">
      <c r="B13" s="1" t="s">
        <v>20</v>
      </c>
      <c r="C13" s="3">
        <v>-111</v>
      </c>
      <c r="D13" s="3">
        <v>272</v>
      </c>
      <c r="E13" s="3">
        <v>596</v>
      </c>
      <c r="F13" s="3">
        <v>757</v>
      </c>
      <c r="G13" s="3">
        <v>786</v>
      </c>
      <c r="H13" s="3">
        <v>923</v>
      </c>
      <c r="I13" s="3">
        <v>982</v>
      </c>
      <c r="J13" s="3">
        <v>1148</v>
      </c>
      <c r="K13" s="3">
        <v>1014</v>
      </c>
      <c r="L13" s="3">
        <v>970</v>
      </c>
      <c r="M13" s="3">
        <v>1114</v>
      </c>
      <c r="N13" s="3">
        <v>1011</v>
      </c>
      <c r="O13" s="3">
        <v>901</v>
      </c>
      <c r="P13" s="3"/>
      <c r="Q13" s="3"/>
      <c r="R13" s="3"/>
      <c r="V13" s="3">
        <v>-1146</v>
      </c>
      <c r="W13" s="3">
        <f>SUM(C13:F13)</f>
        <v>1514</v>
      </c>
      <c r="X13" s="3">
        <f>SUM(G13:J13)</f>
        <v>3839</v>
      </c>
      <c r="Y13" s="3">
        <f>SUM(K13:N13)</f>
        <v>4109</v>
      </c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2:36" x14ac:dyDescent="0.3">
      <c r="B14" s="1" t="s">
        <v>21</v>
      </c>
      <c r="C14" s="3">
        <v>-2</v>
      </c>
      <c r="D14" s="3">
        <v>0</v>
      </c>
      <c r="E14" s="3">
        <v>17</v>
      </c>
      <c r="F14" s="3">
        <v>26</v>
      </c>
      <c r="G14" s="3">
        <v>47</v>
      </c>
      <c r="H14" s="3">
        <v>45</v>
      </c>
      <c r="I14" s="3">
        <v>45</v>
      </c>
      <c r="J14" s="3">
        <v>67</v>
      </c>
      <c r="K14" s="3">
        <v>59</v>
      </c>
      <c r="L14" s="3">
        <v>72</v>
      </c>
      <c r="M14" s="3">
        <v>72</v>
      </c>
      <c r="N14" s="3">
        <v>99</v>
      </c>
      <c r="O14" s="3">
        <v>103</v>
      </c>
      <c r="P14" s="3"/>
      <c r="Q14" s="3"/>
      <c r="R14" s="3"/>
      <c r="V14" s="3">
        <v>-179</v>
      </c>
      <c r="W14" s="3">
        <f>SUM(C14:F14)</f>
        <v>41</v>
      </c>
      <c r="X14" s="3">
        <f>SUM(G14:J14)</f>
        <v>204</v>
      </c>
      <c r="Y14" s="3">
        <f>SUM(K14:N14)</f>
        <v>302</v>
      </c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spans="2:36" x14ac:dyDescent="0.3">
      <c r="B15" s="1" t="s">
        <v>22</v>
      </c>
      <c r="C15" s="3">
        <f t="shared" ref="C15:O15" si="14">SUM(C12:C14)</f>
        <v>-33</v>
      </c>
      <c r="D15" s="3">
        <f t="shared" si="14"/>
        <v>410</v>
      </c>
      <c r="E15" s="3">
        <f t="shared" si="14"/>
        <v>778</v>
      </c>
      <c r="F15" s="3">
        <f t="shared" si="14"/>
        <v>1027</v>
      </c>
      <c r="G15" s="3">
        <f t="shared" si="14"/>
        <v>1055</v>
      </c>
      <c r="H15" s="3">
        <f t="shared" si="14"/>
        <v>1198</v>
      </c>
      <c r="I15" s="3">
        <f t="shared" si="14"/>
        <v>1233</v>
      </c>
      <c r="J15" s="3">
        <f t="shared" si="14"/>
        <v>1437</v>
      </c>
      <c r="K15" s="3">
        <f t="shared" si="14"/>
        <v>1269</v>
      </c>
      <c r="L15" s="3">
        <f t="shared" si="14"/>
        <v>1268</v>
      </c>
      <c r="M15" s="3">
        <f t="shared" si="14"/>
        <v>1356</v>
      </c>
      <c r="N15" s="3">
        <f t="shared" si="14"/>
        <v>1292</v>
      </c>
      <c r="O15" s="3">
        <f t="shared" si="14"/>
        <v>1150</v>
      </c>
      <c r="P15" s="3"/>
      <c r="Q15" s="3"/>
      <c r="R15" s="3"/>
      <c r="V15" s="3">
        <f>SUM(V12:V14)</f>
        <v>-1472</v>
      </c>
      <c r="W15" s="3">
        <f>SUM(W12:W14)</f>
        <v>2182</v>
      </c>
      <c r="X15" s="3">
        <f>SUM(X12:X14)</f>
        <v>4923</v>
      </c>
      <c r="Y15" s="3">
        <f>SUM(Y12:Y14)</f>
        <v>5185</v>
      </c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spans="2:36" s="4" customFormat="1" x14ac:dyDescent="0.3">
      <c r="B16" s="4" t="s">
        <v>23</v>
      </c>
      <c r="C16" s="5">
        <f t="shared" ref="C16:R16" si="15">C8+C9</f>
        <v>12056</v>
      </c>
      <c r="D16" s="5">
        <f t="shared" si="15"/>
        <v>13834</v>
      </c>
      <c r="E16" s="5">
        <f t="shared" si="15"/>
        <v>14352</v>
      </c>
      <c r="F16" s="5">
        <f t="shared" si="15"/>
        <v>15383</v>
      </c>
      <c r="G16" s="5">
        <f t="shared" si="15"/>
        <v>15714</v>
      </c>
      <c r="H16" s="5">
        <f t="shared" si="15"/>
        <v>16724</v>
      </c>
      <c r="I16" s="5">
        <f t="shared" si="15"/>
        <v>17179</v>
      </c>
      <c r="J16" s="5">
        <f t="shared" si="15"/>
        <v>17747</v>
      </c>
      <c r="K16" s="5">
        <f t="shared" si="15"/>
        <v>17807</v>
      </c>
      <c r="L16" s="5">
        <f t="shared" si="15"/>
        <v>18397</v>
      </c>
      <c r="M16" s="5">
        <f t="shared" si="15"/>
        <v>18779</v>
      </c>
      <c r="N16" s="5">
        <f t="shared" si="15"/>
        <v>19218</v>
      </c>
      <c r="O16" s="5">
        <f t="shared" si="15"/>
        <v>18933</v>
      </c>
      <c r="P16" s="5">
        <f t="shared" si="15"/>
        <v>19647.460000000003</v>
      </c>
      <c r="Q16" s="5">
        <f t="shared" si="15"/>
        <v>19796.140000000003</v>
      </c>
      <c r="R16" s="5">
        <f t="shared" si="15"/>
        <v>20154.39</v>
      </c>
      <c r="V16" s="5">
        <f>V8+V9</f>
        <v>31226</v>
      </c>
      <c r="W16" s="5">
        <f>W8+W9</f>
        <v>55625</v>
      </c>
      <c r="X16" s="5">
        <f>X8+X9</f>
        <v>67364</v>
      </c>
      <c r="Y16" s="5">
        <f>SUM(K16:N16)</f>
        <v>74201</v>
      </c>
      <c r="Z16" s="5">
        <f>Z8+Z9</f>
        <v>78530.990000000005</v>
      </c>
      <c r="AA16" s="5">
        <f t="shared" ref="AA16:AJ16" si="16">AA8+AA9</f>
        <v>81530.517300000007</v>
      </c>
      <c r="AB16" s="5">
        <f t="shared" si="16"/>
        <v>83506.038903000008</v>
      </c>
      <c r="AC16" s="5">
        <f t="shared" si="16"/>
        <v>85065.142209930011</v>
      </c>
      <c r="AD16" s="5">
        <f t="shared" si="16"/>
        <v>86274.175374856815</v>
      </c>
      <c r="AE16" s="5">
        <f t="shared" si="16"/>
        <v>87385.395136965788</v>
      </c>
      <c r="AF16" s="5">
        <f t="shared" si="16"/>
        <v>88387.215262641053</v>
      </c>
      <c r="AG16" s="5">
        <f t="shared" si="16"/>
        <v>89401.612913059173</v>
      </c>
      <c r="AH16" s="5">
        <f t="shared" si="16"/>
        <v>90428.765049937327</v>
      </c>
      <c r="AI16" s="5">
        <f t="shared" si="16"/>
        <v>91468.8514283392</v>
      </c>
      <c r="AJ16" s="5">
        <f t="shared" si="16"/>
        <v>92522.054645083146</v>
      </c>
    </row>
    <row r="17" spans="2:153" x14ac:dyDescent="0.3">
      <c r="B17" s="1" t="s">
        <v>24</v>
      </c>
      <c r="C17" s="3">
        <v>3111</v>
      </c>
      <c r="D17" s="3">
        <v>3591</v>
      </c>
      <c r="E17" s="3">
        <v>3571</v>
      </c>
      <c r="F17" s="3">
        <v>3729</v>
      </c>
      <c r="G17" s="3">
        <v>3766</v>
      </c>
      <c r="H17" s="3">
        <v>3956</v>
      </c>
      <c r="I17" s="3">
        <v>3794</v>
      </c>
      <c r="J17" s="3">
        <v>3851</v>
      </c>
      <c r="K17" s="3">
        <v>3774</v>
      </c>
      <c r="L17" s="3">
        <v>4227</v>
      </c>
      <c r="M17" s="3">
        <v>4168</v>
      </c>
      <c r="N17" s="3">
        <v>4430</v>
      </c>
      <c r="O17" s="3">
        <v>4378</v>
      </c>
      <c r="P17" s="3"/>
      <c r="Q17" s="3"/>
      <c r="R17" s="3"/>
      <c r="V17" s="3">
        <v>7975</v>
      </c>
      <c r="W17" s="3">
        <f>SUM(C17:F17)</f>
        <v>14002</v>
      </c>
      <c r="X17" s="3">
        <f>SUM(G17:J17)</f>
        <v>15367</v>
      </c>
      <c r="Y17" s="3">
        <f t="shared" ref="Y17:Y19" si="17">SUM(K17:N17)</f>
        <v>16599</v>
      </c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spans="2:153" x14ac:dyDescent="0.3">
      <c r="B18" s="1" t="s">
        <v>25</v>
      </c>
      <c r="C18" s="3">
        <v>1043</v>
      </c>
      <c r="D18" s="3">
        <v>1404</v>
      </c>
      <c r="E18" s="3">
        <v>1194</v>
      </c>
      <c r="F18" s="3">
        <v>1302</v>
      </c>
      <c r="G18" s="3">
        <v>1393</v>
      </c>
      <c r="H18" s="3">
        <v>1388</v>
      </c>
      <c r="I18" s="3">
        <v>1393</v>
      </c>
      <c r="J18" s="3">
        <v>1483</v>
      </c>
      <c r="K18" s="3">
        <v>1392</v>
      </c>
      <c r="L18" s="3">
        <v>1427</v>
      </c>
      <c r="M18" s="3">
        <v>1430</v>
      </c>
      <c r="N18" s="3">
        <v>1637</v>
      </c>
      <c r="O18" s="3">
        <v>1529</v>
      </c>
      <c r="P18" s="3"/>
      <c r="Q18" s="3"/>
      <c r="R18" s="3"/>
      <c r="V18" s="3">
        <v>2634</v>
      </c>
      <c r="W18" s="3">
        <f>SUM(C18:F18)</f>
        <v>4943</v>
      </c>
      <c r="X18" s="3">
        <f>SUM(G18:J18)</f>
        <v>5657</v>
      </c>
      <c r="Y18" s="3">
        <f t="shared" si="17"/>
        <v>5886</v>
      </c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spans="2:153" x14ac:dyDescent="0.3">
      <c r="B19" s="1" t="s">
        <v>26</v>
      </c>
      <c r="C19" s="3">
        <v>626</v>
      </c>
      <c r="D19" s="3">
        <v>678</v>
      </c>
      <c r="E19" s="3">
        <v>774</v>
      </c>
      <c r="F19" s="3">
        <v>881</v>
      </c>
      <c r="G19" s="3">
        <v>983</v>
      </c>
      <c r="H19" s="3">
        <v>949</v>
      </c>
      <c r="I19" s="3">
        <v>973</v>
      </c>
      <c r="J19" s="3">
        <v>1063</v>
      </c>
      <c r="K19" s="3">
        <v>1171</v>
      </c>
      <c r="L19" s="3">
        <v>1154</v>
      </c>
      <c r="M19" s="3">
        <v>1179</v>
      </c>
      <c r="N19" s="3">
        <v>1278</v>
      </c>
      <c r="O19" s="3">
        <v>1328</v>
      </c>
      <c r="P19" s="3"/>
      <c r="Q19" s="3"/>
      <c r="R19" s="3"/>
      <c r="V19" s="3">
        <v>1328</v>
      </c>
      <c r="W19" s="3">
        <f>SUM(C19:F19)</f>
        <v>2959</v>
      </c>
      <c r="X19" s="3">
        <f>SUM(G19:J19)</f>
        <v>3968</v>
      </c>
      <c r="Y19" s="3">
        <f t="shared" si="17"/>
        <v>4782</v>
      </c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spans="2:153" x14ac:dyDescent="0.3">
      <c r="B20" s="1" t="s">
        <v>27</v>
      </c>
      <c r="C20" s="3">
        <f t="shared" ref="C20:O20" si="18">SUM(C17:C19)+C15+C10</f>
        <v>5068</v>
      </c>
      <c r="D20" s="3">
        <f t="shared" si="18"/>
        <v>6522</v>
      </c>
      <c r="E20" s="3">
        <f t="shared" si="18"/>
        <v>7113</v>
      </c>
      <c r="F20" s="3">
        <f t="shared" si="18"/>
        <v>8146</v>
      </c>
      <c r="G20" s="3">
        <f t="shared" si="18"/>
        <v>8630</v>
      </c>
      <c r="H20" s="3">
        <f t="shared" si="18"/>
        <v>9161</v>
      </c>
      <c r="I20" s="3">
        <f t="shared" si="18"/>
        <v>9191</v>
      </c>
      <c r="J20" s="3">
        <f t="shared" si="18"/>
        <v>9782</v>
      </c>
      <c r="K20" s="3">
        <f t="shared" si="18"/>
        <v>9612</v>
      </c>
      <c r="L20" s="3">
        <f t="shared" si="18"/>
        <v>10140</v>
      </c>
      <c r="M20" s="3">
        <f t="shared" si="18"/>
        <v>10276</v>
      </c>
      <c r="N20" s="3">
        <f t="shared" si="18"/>
        <v>10676</v>
      </c>
      <c r="O20" s="3">
        <f t="shared" si="18"/>
        <v>10351</v>
      </c>
      <c r="P20" s="3">
        <f>P16*0.55</f>
        <v>10806.103000000003</v>
      </c>
      <c r="Q20" s="3">
        <f>Q16*0.55</f>
        <v>10887.877000000002</v>
      </c>
      <c r="R20" s="3">
        <f t="shared" ref="R20" si="19">R16*0.56</f>
        <v>11286.458400000001</v>
      </c>
      <c r="V20" s="3">
        <f>SUM(V17:V19)+V15+V10</f>
        <v>11456</v>
      </c>
      <c r="W20" s="3">
        <f>SUM(W17:W19)+W15+W10</f>
        <v>26849</v>
      </c>
      <c r="X20" s="3">
        <f>SUM(X17:X19)+X15+X10</f>
        <v>36764</v>
      </c>
      <c r="Y20" s="3">
        <f>SUM(K20:N20)</f>
        <v>40704</v>
      </c>
      <c r="Z20" s="3">
        <f>SUM(O20:R20)</f>
        <v>43331.438400000006</v>
      </c>
      <c r="AA20" s="3">
        <f t="shared" ref="AA20:AJ20" si="20">AA16-AA21</f>
        <v>44841.784514999999</v>
      </c>
      <c r="AB20" s="3">
        <f t="shared" si="20"/>
        <v>45928.321396650004</v>
      </c>
      <c r="AC20" s="3">
        <f t="shared" si="20"/>
        <v>46785.828215461508</v>
      </c>
      <c r="AD20" s="3">
        <f t="shared" si="20"/>
        <v>47450.796456171251</v>
      </c>
      <c r="AE20" s="3">
        <f t="shared" si="20"/>
        <v>48061.967325331185</v>
      </c>
      <c r="AF20" s="3">
        <f t="shared" si="20"/>
        <v>48612.968394452575</v>
      </c>
      <c r="AG20" s="3">
        <f t="shared" si="20"/>
        <v>49170.887102182547</v>
      </c>
      <c r="AH20" s="3">
        <f t="shared" si="20"/>
        <v>49735.820777465531</v>
      </c>
      <c r="AI20" s="3">
        <f t="shared" si="20"/>
        <v>50307.868285586555</v>
      </c>
      <c r="AJ20" s="3">
        <f t="shared" si="20"/>
        <v>50887.130054795729</v>
      </c>
    </row>
    <row r="21" spans="2:153" s="4" customFormat="1" x14ac:dyDescent="0.3">
      <c r="B21" s="4" t="s">
        <v>28</v>
      </c>
      <c r="C21" s="5">
        <f t="shared" ref="C21:R21" si="21">C16-C20</f>
        <v>6988</v>
      </c>
      <c r="D21" s="5">
        <f t="shared" si="21"/>
        <v>7312</v>
      </c>
      <c r="E21" s="5">
        <f t="shared" si="21"/>
        <v>7239</v>
      </c>
      <c r="F21" s="5">
        <f t="shared" si="21"/>
        <v>7237</v>
      </c>
      <c r="G21" s="5">
        <f t="shared" si="21"/>
        <v>7084</v>
      </c>
      <c r="H21" s="5">
        <f t="shared" si="21"/>
        <v>7563</v>
      </c>
      <c r="I21" s="5">
        <f t="shared" si="21"/>
        <v>7988</v>
      </c>
      <c r="J21" s="5">
        <f t="shared" si="21"/>
        <v>7965</v>
      </c>
      <c r="K21" s="5">
        <f t="shared" si="21"/>
        <v>8195</v>
      </c>
      <c r="L21" s="5">
        <f t="shared" si="21"/>
        <v>8257</v>
      </c>
      <c r="M21" s="5">
        <f t="shared" si="21"/>
        <v>8503</v>
      </c>
      <c r="N21" s="5">
        <f t="shared" si="21"/>
        <v>8542</v>
      </c>
      <c r="O21" s="5">
        <f t="shared" si="21"/>
        <v>8582</v>
      </c>
      <c r="P21" s="5">
        <f t="shared" si="21"/>
        <v>8841.357</v>
      </c>
      <c r="Q21" s="5">
        <f t="shared" si="21"/>
        <v>8908.2630000000008</v>
      </c>
      <c r="R21" s="5">
        <f t="shared" si="21"/>
        <v>8867.9315999999981</v>
      </c>
      <c r="V21" s="5">
        <f>V16-V20</f>
        <v>19770</v>
      </c>
      <c r="W21" s="5">
        <f>W16-W20</f>
        <v>28776</v>
      </c>
      <c r="X21" s="5">
        <f>X16-X20</f>
        <v>30600</v>
      </c>
      <c r="Y21" s="5">
        <f>Y16-Y20</f>
        <v>33497</v>
      </c>
      <c r="Z21" s="5">
        <f>Z16-Z20</f>
        <v>35199.551599999999</v>
      </c>
      <c r="AA21" s="5">
        <f t="shared" ref="AA21:AJ21" si="22">AA16*0.45</f>
        <v>36688.732785000007</v>
      </c>
      <c r="AB21" s="5">
        <f t="shared" si="22"/>
        <v>37577.717506350004</v>
      </c>
      <c r="AC21" s="5">
        <f t="shared" si="22"/>
        <v>38279.313994468503</v>
      </c>
      <c r="AD21" s="5">
        <f t="shared" si="22"/>
        <v>38823.378918685565</v>
      </c>
      <c r="AE21" s="5">
        <f t="shared" si="22"/>
        <v>39323.427811634603</v>
      </c>
      <c r="AF21" s="5">
        <f t="shared" si="22"/>
        <v>39774.246868188478</v>
      </c>
      <c r="AG21" s="5">
        <f t="shared" si="22"/>
        <v>40230.725810876625</v>
      </c>
      <c r="AH21" s="5">
        <f t="shared" si="22"/>
        <v>40692.944272471796</v>
      </c>
      <c r="AI21" s="5">
        <f t="shared" si="22"/>
        <v>41160.983142752644</v>
      </c>
      <c r="AJ21" s="5">
        <f t="shared" si="22"/>
        <v>41634.924590287417</v>
      </c>
    </row>
    <row r="22" spans="2:153" x14ac:dyDescent="0.3">
      <c r="B22" s="1" t="s">
        <v>29</v>
      </c>
      <c r="C22" s="3">
        <v>1224</v>
      </c>
      <c r="D22" s="3">
        <v>1502</v>
      </c>
      <c r="E22" s="3">
        <v>1458</v>
      </c>
      <c r="F22" s="3">
        <v>1274</v>
      </c>
      <c r="G22" s="3">
        <v>1341</v>
      </c>
      <c r="H22" s="3">
        <v>1408</v>
      </c>
      <c r="I22" s="3">
        <v>1236</v>
      </c>
      <c r="J22" s="3">
        <v>1228</v>
      </c>
      <c r="K22" s="3">
        <v>1476</v>
      </c>
      <c r="L22" s="3">
        <v>1480</v>
      </c>
      <c r="M22" s="3">
        <v>1470</v>
      </c>
      <c r="N22" s="3">
        <v>1614</v>
      </c>
      <c r="O22" s="3">
        <v>1486</v>
      </c>
      <c r="P22" s="3">
        <f t="shared" ref="P22:R22" si="23">P16*0.08</f>
        <v>1571.7968000000003</v>
      </c>
      <c r="Q22" s="3">
        <f t="shared" si="23"/>
        <v>1583.6912000000002</v>
      </c>
      <c r="R22" s="3">
        <f t="shared" si="23"/>
        <v>1612.3512000000001</v>
      </c>
      <c r="V22" s="3">
        <v>3706</v>
      </c>
      <c r="W22" s="3">
        <f>SUM(C22:F22)</f>
        <v>5458</v>
      </c>
      <c r="X22" s="3">
        <f>SUM(G22:J22)</f>
        <v>5213</v>
      </c>
      <c r="Y22" s="3">
        <f>SUM(K22:N22)</f>
        <v>6040</v>
      </c>
      <c r="Z22" s="3">
        <f>SUM(O22:R22)</f>
        <v>6253.8392000000003</v>
      </c>
      <c r="AA22" s="3">
        <f t="shared" ref="AA22:AJ22" si="24">AA16*0.08</f>
        <v>6522.4413840000007</v>
      </c>
      <c r="AB22" s="3">
        <f t="shared" si="24"/>
        <v>6680.483112240001</v>
      </c>
      <c r="AC22" s="3">
        <f t="shared" si="24"/>
        <v>6805.2113767944011</v>
      </c>
      <c r="AD22" s="3">
        <f t="shared" si="24"/>
        <v>6901.9340299885453</v>
      </c>
      <c r="AE22" s="3">
        <f t="shared" si="24"/>
        <v>6990.8316109572634</v>
      </c>
      <c r="AF22" s="3">
        <f t="shared" si="24"/>
        <v>7070.9772210112842</v>
      </c>
      <c r="AG22" s="3">
        <f t="shared" si="24"/>
        <v>7152.1290330447337</v>
      </c>
      <c r="AH22" s="3">
        <f t="shared" si="24"/>
        <v>7234.3012039949863</v>
      </c>
      <c r="AI22" s="3">
        <f t="shared" si="24"/>
        <v>7317.5081142671361</v>
      </c>
      <c r="AJ22" s="3">
        <f t="shared" si="24"/>
        <v>7401.7643716066523</v>
      </c>
    </row>
    <row r="23" spans="2:153" x14ac:dyDescent="0.3">
      <c r="B23" s="1" t="s">
        <v>30</v>
      </c>
      <c r="C23" s="3">
        <v>1654</v>
      </c>
      <c r="D23" s="3">
        <v>1816</v>
      </c>
      <c r="E23" s="3">
        <v>1748</v>
      </c>
      <c r="F23" s="3">
        <v>2034</v>
      </c>
      <c r="G23" s="3">
        <v>2014</v>
      </c>
      <c r="H23" s="3">
        <v>1875</v>
      </c>
      <c r="I23" s="3">
        <v>2047</v>
      </c>
      <c r="J23" s="3">
        <v>2131</v>
      </c>
      <c r="K23" s="3">
        <v>2098</v>
      </c>
      <c r="L23" s="3">
        <v>1949</v>
      </c>
      <c r="M23" s="3">
        <v>2049</v>
      </c>
      <c r="N23" s="3">
        <v>2102</v>
      </c>
      <c r="O23" s="3">
        <v>2120</v>
      </c>
      <c r="P23" s="3">
        <f t="shared" ref="P23" si="25">L23*0.99</f>
        <v>1929.51</v>
      </c>
      <c r="Q23" s="3">
        <f>M23*1.01</f>
        <v>2069.4900000000002</v>
      </c>
      <c r="R23" s="3">
        <f>N23*1.01</f>
        <v>2123.02</v>
      </c>
      <c r="V23" s="3">
        <v>4586</v>
      </c>
      <c r="W23" s="3">
        <f>SUM(C23:F23)</f>
        <v>7252</v>
      </c>
      <c r="X23" s="3">
        <f>SUM(G23:J23)</f>
        <v>8067</v>
      </c>
      <c r="Y23" s="3">
        <f>SUM(K23:N23)</f>
        <v>8198</v>
      </c>
      <c r="Z23" s="3">
        <f>SUM(O23:R23)</f>
        <v>8242.02</v>
      </c>
      <c r="AA23" s="3">
        <f>Z23*1.02</f>
        <v>8406.8604000000014</v>
      </c>
      <c r="AB23" s="3">
        <f>AA23*1.01</f>
        <v>8490.9290040000014</v>
      </c>
      <c r="AC23" s="3">
        <f t="shared" ref="AC23:AJ23" si="26">AB23*1.01</f>
        <v>8575.8382940400024</v>
      </c>
      <c r="AD23" s="3">
        <f t="shared" si="26"/>
        <v>8661.5966769804018</v>
      </c>
      <c r="AE23" s="3">
        <f t="shared" si="26"/>
        <v>8748.2126437502066</v>
      </c>
      <c r="AF23" s="3">
        <f t="shared" si="26"/>
        <v>8835.6947701877089</v>
      </c>
      <c r="AG23" s="3">
        <f t="shared" si="26"/>
        <v>8924.0517178895861</v>
      </c>
      <c r="AH23" s="3">
        <f t="shared" si="26"/>
        <v>9013.2922350684821</v>
      </c>
      <c r="AI23" s="3">
        <f t="shared" si="26"/>
        <v>9103.4251574191676</v>
      </c>
      <c r="AJ23" s="3">
        <f t="shared" si="26"/>
        <v>9194.4594089933598</v>
      </c>
    </row>
    <row r="24" spans="2:153" x14ac:dyDescent="0.3">
      <c r="B24" s="1" t="s">
        <v>31</v>
      </c>
      <c r="C24" s="3">
        <f>472+600+326</f>
        <v>1398</v>
      </c>
      <c r="D24" s="3">
        <f>501+623+327</f>
        <v>1451</v>
      </c>
      <c r="E24" s="3">
        <f>500+651+423</f>
        <v>1574</v>
      </c>
      <c r="F24" s="3">
        <f>601+732+725</f>
        <v>2058</v>
      </c>
      <c r="G24" s="3">
        <v>1562</v>
      </c>
      <c r="H24" s="3">
        <v>1546</v>
      </c>
      <c r="I24" s="3">
        <f>477+704+424</f>
        <v>1605</v>
      </c>
      <c r="J24" s="3">
        <f>645+764+685</f>
        <v>2094</v>
      </c>
      <c r="K24" s="3">
        <v>1476</v>
      </c>
      <c r="L24" s="3">
        <v>1038</v>
      </c>
      <c r="M24" s="3">
        <v>1780</v>
      </c>
      <c r="N24" s="3">
        <f>698+805+567</f>
        <v>2070</v>
      </c>
      <c r="O24" s="3">
        <v>1646</v>
      </c>
      <c r="P24" s="3">
        <f t="shared" ref="P24:Q24" si="27">P16*0.08</f>
        <v>1571.7968000000003</v>
      </c>
      <c r="Q24" s="3">
        <f t="shared" si="27"/>
        <v>1583.6912000000002</v>
      </c>
      <c r="R24" s="3">
        <f>R16*0.11</f>
        <v>2216.9829</v>
      </c>
      <c r="V24" s="3">
        <f>1351+1772-28</f>
        <v>3095</v>
      </c>
      <c r="W24" s="3">
        <f>SUM(C24:F24)</f>
        <v>6481</v>
      </c>
      <c r="X24" s="3">
        <f>SUM(G24:J24)</f>
        <v>6807</v>
      </c>
      <c r="Y24" s="3">
        <f>SUM(K24:N24)</f>
        <v>6364</v>
      </c>
      <c r="Z24" s="3">
        <f>SUM(O24:R24)</f>
        <v>7018.4709000000003</v>
      </c>
      <c r="AA24" s="3">
        <f t="shared" ref="AA24:AJ24" si="28">AA16*0.08</f>
        <v>6522.4413840000007</v>
      </c>
      <c r="AB24" s="3">
        <f t="shared" si="28"/>
        <v>6680.483112240001</v>
      </c>
      <c r="AC24" s="3">
        <f t="shared" si="28"/>
        <v>6805.2113767944011</v>
      </c>
      <c r="AD24" s="3">
        <f t="shared" si="28"/>
        <v>6901.9340299885453</v>
      </c>
      <c r="AE24" s="3">
        <f t="shared" si="28"/>
        <v>6990.8316109572634</v>
      </c>
      <c r="AF24" s="3">
        <f t="shared" si="28"/>
        <v>7070.9772210112842</v>
      </c>
      <c r="AG24" s="3">
        <f t="shared" si="28"/>
        <v>7152.1290330447337</v>
      </c>
      <c r="AH24" s="3">
        <f t="shared" si="28"/>
        <v>7234.3012039949863</v>
      </c>
      <c r="AI24" s="3">
        <f t="shared" si="28"/>
        <v>7317.5081142671361</v>
      </c>
      <c r="AJ24" s="3">
        <f t="shared" si="28"/>
        <v>7401.7643716066523</v>
      </c>
    </row>
    <row r="25" spans="2:153" s="4" customFormat="1" x14ac:dyDescent="0.3">
      <c r="B25" s="4" t="s">
        <v>32</v>
      </c>
      <c r="C25" s="5">
        <f t="shared" ref="C25:L25" si="29">C21-SUM(C22:C24)</f>
        <v>2712</v>
      </c>
      <c r="D25" s="5">
        <f t="shared" si="29"/>
        <v>2543</v>
      </c>
      <c r="E25" s="5">
        <f t="shared" si="29"/>
        <v>2459</v>
      </c>
      <c r="F25" s="5">
        <f t="shared" si="29"/>
        <v>1871</v>
      </c>
      <c r="G25" s="5">
        <f t="shared" si="29"/>
        <v>2167</v>
      </c>
      <c r="H25" s="5">
        <f t="shared" si="29"/>
        <v>2734</v>
      </c>
      <c r="I25" s="5">
        <f t="shared" si="29"/>
        <v>3100</v>
      </c>
      <c r="J25" s="5">
        <f t="shared" si="29"/>
        <v>2512</v>
      </c>
      <c r="K25" s="5">
        <f t="shared" si="29"/>
        <v>3145</v>
      </c>
      <c r="L25" s="5">
        <f t="shared" si="29"/>
        <v>3790</v>
      </c>
      <c r="M25" s="5">
        <f t="shared" ref="M25:R25" si="30">M21-SUM(M22:M24)</f>
        <v>3204</v>
      </c>
      <c r="N25" s="5">
        <f t="shared" si="30"/>
        <v>2756</v>
      </c>
      <c r="O25" s="5">
        <f t="shared" si="30"/>
        <v>3330</v>
      </c>
      <c r="P25" s="5">
        <f t="shared" si="30"/>
        <v>3768.2533999999996</v>
      </c>
      <c r="Q25" s="5">
        <f t="shared" si="30"/>
        <v>3671.3906000000006</v>
      </c>
      <c r="R25" s="5">
        <f t="shared" si="30"/>
        <v>2915.5774999999976</v>
      </c>
      <c r="V25" s="5">
        <f>V21-SUM(V22:V24)</f>
        <v>8383</v>
      </c>
      <c r="W25" s="5">
        <f>W21-SUM(W22:W24)</f>
        <v>9585</v>
      </c>
      <c r="X25" s="5">
        <f>X21-SUM(X22:X24)</f>
        <v>10513</v>
      </c>
      <c r="Y25" s="5">
        <f>Y21-SUM(Y22:Y24)</f>
        <v>12895</v>
      </c>
      <c r="Z25" s="5">
        <f t="shared" ref="Z25:AJ25" si="31">Z21-SUM(Z22:Z24)</f>
        <v>13685.2215</v>
      </c>
      <c r="AA25" s="5">
        <f t="shared" si="31"/>
        <v>15236.989617000003</v>
      </c>
      <c r="AB25" s="5">
        <f t="shared" si="31"/>
        <v>15725.82227787</v>
      </c>
      <c r="AC25" s="5">
        <f t="shared" si="31"/>
        <v>16093.0529468397</v>
      </c>
      <c r="AD25" s="5">
        <f t="shared" si="31"/>
        <v>16357.914181728072</v>
      </c>
      <c r="AE25" s="5">
        <f t="shared" si="31"/>
        <v>16593.55194596987</v>
      </c>
      <c r="AF25" s="5">
        <f t="shared" si="31"/>
        <v>16796.597655978199</v>
      </c>
      <c r="AG25" s="5">
        <f t="shared" si="31"/>
        <v>17002.416026897572</v>
      </c>
      <c r="AH25" s="5">
        <f t="shared" si="31"/>
        <v>17211.049629413341</v>
      </c>
      <c r="AI25" s="5">
        <f t="shared" si="31"/>
        <v>17422.541756799204</v>
      </c>
      <c r="AJ25" s="5">
        <f t="shared" si="31"/>
        <v>17636.936438080753</v>
      </c>
    </row>
    <row r="26" spans="2:153" x14ac:dyDescent="0.3">
      <c r="B26" s="1" t="s">
        <v>33</v>
      </c>
      <c r="C26" s="3">
        <v>613</v>
      </c>
      <c r="D26" s="3">
        <v>579</v>
      </c>
      <c r="E26" s="3">
        <v>580</v>
      </c>
      <c r="F26" s="3">
        <v>299</v>
      </c>
      <c r="G26" s="3">
        <v>351</v>
      </c>
      <c r="H26" s="3">
        <v>560</v>
      </c>
      <c r="I26" s="3">
        <v>649</v>
      </c>
      <c r="J26" s="3">
        <v>579</v>
      </c>
      <c r="K26" s="3">
        <v>708</v>
      </c>
      <c r="L26" s="3">
        <v>775</v>
      </c>
      <c r="M26" s="3">
        <v>697</v>
      </c>
      <c r="N26" s="3">
        <v>586</v>
      </c>
      <c r="O26" s="3">
        <v>746</v>
      </c>
      <c r="P26" s="3">
        <f t="shared" ref="P26:R26" si="32">P25*0.21</f>
        <v>791.33321399999988</v>
      </c>
      <c r="Q26" s="3">
        <f t="shared" si="32"/>
        <v>770.99202600000012</v>
      </c>
      <c r="R26" s="3">
        <f t="shared" si="32"/>
        <v>612.27127499999949</v>
      </c>
      <c r="V26" s="3">
        <v>2042</v>
      </c>
      <c r="W26" s="3">
        <f>SUM(C26:F26)</f>
        <v>2071</v>
      </c>
      <c r="X26" s="3">
        <f>SUM(G26:J26)</f>
        <v>2139</v>
      </c>
      <c r="Y26" s="3">
        <f>SUM(K26:N26)</f>
        <v>2766</v>
      </c>
      <c r="Z26" s="3">
        <f>SUM(O26:R26)</f>
        <v>2920.5965149999997</v>
      </c>
      <c r="AA26" s="3">
        <f t="shared" ref="AA26:AJ26" si="33">AA25*0.2</f>
        <v>3047.3979234000008</v>
      </c>
      <c r="AB26" s="3">
        <f t="shared" si="33"/>
        <v>3145.1644555740004</v>
      </c>
      <c r="AC26" s="3">
        <f t="shared" si="33"/>
        <v>3218.6105893679401</v>
      </c>
      <c r="AD26" s="3">
        <f t="shared" si="33"/>
        <v>3271.5828363456149</v>
      </c>
      <c r="AE26" s="3">
        <f t="shared" si="33"/>
        <v>3318.7103891939742</v>
      </c>
      <c r="AF26" s="3">
        <f t="shared" si="33"/>
        <v>3359.3195311956401</v>
      </c>
      <c r="AG26" s="3">
        <f t="shared" si="33"/>
        <v>3400.4832053795144</v>
      </c>
      <c r="AH26" s="3">
        <f t="shared" si="33"/>
        <v>3442.2099258826684</v>
      </c>
      <c r="AI26" s="3">
        <f t="shared" si="33"/>
        <v>3484.5083513598411</v>
      </c>
      <c r="AJ26" s="3">
        <f t="shared" si="33"/>
        <v>3527.3872876161508</v>
      </c>
    </row>
    <row r="27" spans="2:153" s="4" customFormat="1" x14ac:dyDescent="0.3">
      <c r="B27" s="4" t="s">
        <v>34</v>
      </c>
      <c r="C27" s="5">
        <f t="shared" ref="C27:L27" si="34">C25-C26</f>
        <v>2099</v>
      </c>
      <c r="D27" s="5">
        <f t="shared" si="34"/>
        <v>1964</v>
      </c>
      <c r="E27" s="5">
        <f t="shared" si="34"/>
        <v>1879</v>
      </c>
      <c r="F27" s="5">
        <f t="shared" si="34"/>
        <v>1572</v>
      </c>
      <c r="G27" s="5">
        <f t="shared" si="34"/>
        <v>1816</v>
      </c>
      <c r="H27" s="5">
        <f t="shared" si="34"/>
        <v>2174</v>
      </c>
      <c r="I27" s="5">
        <f t="shared" si="34"/>
        <v>2451</v>
      </c>
      <c r="J27" s="5">
        <f t="shared" si="34"/>
        <v>1933</v>
      </c>
      <c r="K27" s="5">
        <f t="shared" si="34"/>
        <v>2437</v>
      </c>
      <c r="L27" s="5">
        <f t="shared" si="34"/>
        <v>3015</v>
      </c>
      <c r="M27" s="5">
        <f t="shared" ref="M27:N27" si="35">M25-M26</f>
        <v>2507</v>
      </c>
      <c r="N27" s="5">
        <f t="shared" si="35"/>
        <v>2170</v>
      </c>
      <c r="O27" s="5">
        <f t="shared" ref="O27:R27" si="36">O25-O26</f>
        <v>2584</v>
      </c>
      <c r="P27" s="5">
        <f t="shared" si="36"/>
        <v>2976.9201859999998</v>
      </c>
      <c r="Q27" s="5">
        <f t="shared" si="36"/>
        <v>2900.3985740000007</v>
      </c>
      <c r="R27" s="5">
        <f t="shared" si="36"/>
        <v>2303.306224999998</v>
      </c>
      <c r="V27" s="5">
        <f>V25-V26</f>
        <v>6341</v>
      </c>
      <c r="W27" s="5">
        <f>W25-W26</f>
        <v>7514</v>
      </c>
      <c r="X27" s="5">
        <f>X25-X26</f>
        <v>8374</v>
      </c>
      <c r="Y27" s="5">
        <f>Y25-Y26</f>
        <v>10129</v>
      </c>
      <c r="Z27" s="5">
        <f>Z25-Z26</f>
        <v>10764.624985</v>
      </c>
      <c r="AA27" s="5">
        <f t="shared" ref="AA27:AJ27" si="37">AA25-AA26</f>
        <v>12189.591693600003</v>
      </c>
      <c r="AB27" s="5">
        <f t="shared" si="37"/>
        <v>12580.657822296</v>
      </c>
      <c r="AC27" s="5">
        <f t="shared" si="37"/>
        <v>12874.44235747176</v>
      </c>
      <c r="AD27" s="5">
        <f t="shared" si="37"/>
        <v>13086.331345382458</v>
      </c>
      <c r="AE27" s="5">
        <f t="shared" si="37"/>
        <v>13274.841556775897</v>
      </c>
      <c r="AF27" s="5">
        <f t="shared" si="37"/>
        <v>13437.278124782559</v>
      </c>
      <c r="AG27" s="5">
        <f t="shared" si="37"/>
        <v>13601.932821518058</v>
      </c>
      <c r="AH27" s="5">
        <f t="shared" si="37"/>
        <v>13768.839703530673</v>
      </c>
      <c r="AI27" s="5">
        <f t="shared" si="37"/>
        <v>13938.033405439364</v>
      </c>
      <c r="AJ27" s="5">
        <f t="shared" si="37"/>
        <v>14109.549150464602</v>
      </c>
      <c r="AK27" s="4">
        <f>AJ27*(1+$AN$39)</f>
        <v>13968.453658959956</v>
      </c>
      <c r="AL27" s="4">
        <f t="shared" ref="AL27:CW27" si="38">AK27*(1+$AN$39)</f>
        <v>13828.769122370357</v>
      </c>
      <c r="AM27" s="4">
        <f t="shared" si="38"/>
        <v>13690.481431146653</v>
      </c>
      <c r="AN27" s="4">
        <f t="shared" si="38"/>
        <v>13553.576616835186</v>
      </c>
      <c r="AO27" s="4">
        <f t="shared" si="38"/>
        <v>13418.040850666834</v>
      </c>
      <c r="AP27" s="4">
        <f t="shared" si="38"/>
        <v>13283.860442160165</v>
      </c>
      <c r="AQ27" s="4">
        <f t="shared" si="38"/>
        <v>13151.021837738563</v>
      </c>
      <c r="AR27" s="4">
        <f t="shared" si="38"/>
        <v>13019.511619361178</v>
      </c>
      <c r="AS27" s="4">
        <f t="shared" si="38"/>
        <v>12889.316503167565</v>
      </c>
      <c r="AT27" s="4">
        <f t="shared" si="38"/>
        <v>12760.42333813589</v>
      </c>
      <c r="AU27" s="4">
        <f t="shared" si="38"/>
        <v>12632.819104754532</v>
      </c>
      <c r="AV27" s="4">
        <f t="shared" si="38"/>
        <v>12506.490913706986</v>
      </c>
      <c r="AW27" s="4">
        <f t="shared" si="38"/>
        <v>12381.426004569916</v>
      </c>
      <c r="AX27" s="4">
        <f t="shared" si="38"/>
        <v>12257.611744524216</v>
      </c>
      <c r="AY27" s="4">
        <f t="shared" si="38"/>
        <v>12135.035627078974</v>
      </c>
      <c r="AZ27" s="4">
        <f t="shared" si="38"/>
        <v>12013.685270808184</v>
      </c>
      <c r="BA27" s="4">
        <f t="shared" si="38"/>
        <v>11893.548418100103</v>
      </c>
      <c r="BB27" s="4">
        <f t="shared" si="38"/>
        <v>11774.612933919101</v>
      </c>
      <c r="BC27" s="4">
        <f t="shared" si="38"/>
        <v>11656.86680457991</v>
      </c>
      <c r="BD27" s="4">
        <f t="shared" si="38"/>
        <v>11540.298136534111</v>
      </c>
      <c r="BE27" s="4">
        <f t="shared" si="38"/>
        <v>11424.89515516877</v>
      </c>
      <c r="BF27" s="4">
        <f t="shared" si="38"/>
        <v>11310.646203617081</v>
      </c>
      <c r="BG27" s="4">
        <f t="shared" si="38"/>
        <v>11197.539741580911</v>
      </c>
      <c r="BH27" s="4">
        <f t="shared" si="38"/>
        <v>11085.564344165103</v>
      </c>
      <c r="BI27" s="4">
        <f t="shared" si="38"/>
        <v>10974.708700723451</v>
      </c>
      <c r="BJ27" s="4">
        <f t="shared" si="38"/>
        <v>10864.961613716217</v>
      </c>
      <c r="BK27" s="4">
        <f t="shared" si="38"/>
        <v>10756.311997579056</v>
      </c>
      <c r="BL27" s="4">
        <f t="shared" si="38"/>
        <v>10648.748877603266</v>
      </c>
      <c r="BM27" s="4">
        <f t="shared" si="38"/>
        <v>10542.261388827234</v>
      </c>
      <c r="BN27" s="4">
        <f t="shared" si="38"/>
        <v>10436.83877493896</v>
      </c>
      <c r="BO27" s="4">
        <f t="shared" si="38"/>
        <v>10332.470387189571</v>
      </c>
      <c r="BP27" s="4">
        <f t="shared" si="38"/>
        <v>10229.145683317674</v>
      </c>
      <c r="BQ27" s="4">
        <f t="shared" si="38"/>
        <v>10126.854226484498</v>
      </c>
      <c r="BR27" s="4">
        <f t="shared" si="38"/>
        <v>10025.585684219654</v>
      </c>
      <c r="BS27" s="4">
        <f t="shared" si="38"/>
        <v>9925.3298273774562</v>
      </c>
      <c r="BT27" s="4">
        <f t="shared" si="38"/>
        <v>9826.0765291036823</v>
      </c>
      <c r="BU27" s="4">
        <f t="shared" si="38"/>
        <v>9727.8157638126449</v>
      </c>
      <c r="BV27" s="4">
        <f t="shared" si="38"/>
        <v>9630.5376061745192</v>
      </c>
      <c r="BW27" s="4">
        <f t="shared" si="38"/>
        <v>9534.2322301127733</v>
      </c>
      <c r="BX27" s="4">
        <f t="shared" si="38"/>
        <v>9438.8899078116447</v>
      </c>
      <c r="BY27" s="4">
        <f t="shared" si="38"/>
        <v>9344.5010087335286</v>
      </c>
      <c r="BZ27" s="4">
        <f t="shared" si="38"/>
        <v>9251.055998646194</v>
      </c>
      <c r="CA27" s="4">
        <f t="shared" si="38"/>
        <v>9158.5454386597321</v>
      </c>
      <c r="CB27" s="4">
        <f t="shared" si="38"/>
        <v>9066.959984273135</v>
      </c>
      <c r="CC27" s="4">
        <f t="shared" si="38"/>
        <v>8976.2903844304037</v>
      </c>
      <c r="CD27" s="4">
        <f t="shared" si="38"/>
        <v>8886.527480586099</v>
      </c>
      <c r="CE27" s="4">
        <f t="shared" si="38"/>
        <v>8797.6622057802379</v>
      </c>
      <c r="CF27" s="4">
        <f t="shared" si="38"/>
        <v>8709.6855837224357</v>
      </c>
      <c r="CG27" s="4">
        <f t="shared" si="38"/>
        <v>8622.5887278852115</v>
      </c>
      <c r="CH27" s="4">
        <f t="shared" si="38"/>
        <v>8536.3628406063599</v>
      </c>
      <c r="CI27" s="4">
        <f t="shared" si="38"/>
        <v>8450.9992122002968</v>
      </c>
      <c r="CJ27" s="4">
        <f t="shared" si="38"/>
        <v>8366.4892200782942</v>
      </c>
      <c r="CK27" s="4">
        <f t="shared" si="38"/>
        <v>8282.8243278775117</v>
      </c>
      <c r="CL27" s="4">
        <f t="shared" si="38"/>
        <v>8199.9960845987371</v>
      </c>
      <c r="CM27" s="4">
        <f t="shared" si="38"/>
        <v>8117.9961237527496</v>
      </c>
      <c r="CN27" s="4">
        <f t="shared" si="38"/>
        <v>8036.8161625152215</v>
      </c>
      <c r="CO27" s="4">
        <f t="shared" si="38"/>
        <v>7956.4480008900691</v>
      </c>
      <c r="CP27" s="4">
        <f t="shared" si="38"/>
        <v>7876.8835208811688</v>
      </c>
      <c r="CQ27" s="4">
        <f t="shared" si="38"/>
        <v>7798.1146856723572</v>
      </c>
      <c r="CR27" s="4">
        <f t="shared" si="38"/>
        <v>7720.1335388156331</v>
      </c>
      <c r="CS27" s="4">
        <f t="shared" si="38"/>
        <v>7642.9322034274765</v>
      </c>
      <c r="CT27" s="4">
        <f t="shared" si="38"/>
        <v>7566.5028813932013</v>
      </c>
      <c r="CU27" s="4">
        <f t="shared" si="38"/>
        <v>7490.8378525792696</v>
      </c>
      <c r="CV27" s="4">
        <f t="shared" si="38"/>
        <v>7415.929474053477</v>
      </c>
      <c r="CW27" s="4">
        <f t="shared" si="38"/>
        <v>7341.7701793129418</v>
      </c>
      <c r="CX27" s="4">
        <f t="shared" ref="CX27:EW27" si="39">CW27*(1+$AN$39)</f>
        <v>7268.3524775198121</v>
      </c>
      <c r="CY27" s="4">
        <f t="shared" si="39"/>
        <v>7195.6689527446142</v>
      </c>
      <c r="CZ27" s="4">
        <f t="shared" si="39"/>
        <v>7123.7122632171677</v>
      </c>
      <c r="DA27" s="4">
        <f t="shared" si="39"/>
        <v>7052.4751405849956</v>
      </c>
      <c r="DB27" s="4">
        <f t="shared" si="39"/>
        <v>6981.9503891791455</v>
      </c>
      <c r="DC27" s="4">
        <f t="shared" si="39"/>
        <v>6912.1308852873544</v>
      </c>
      <c r="DD27" s="4">
        <f t="shared" si="39"/>
        <v>6843.0095764344806</v>
      </c>
      <c r="DE27" s="4">
        <f t="shared" si="39"/>
        <v>6774.579480670136</v>
      </c>
      <c r="DF27" s="4">
        <f t="shared" si="39"/>
        <v>6706.8336858634348</v>
      </c>
      <c r="DG27" s="4">
        <f t="shared" si="39"/>
        <v>6639.7653490048006</v>
      </c>
      <c r="DH27" s="4">
        <f t="shared" si="39"/>
        <v>6573.3676955147521</v>
      </c>
      <c r="DI27" s="4">
        <f t="shared" si="39"/>
        <v>6507.6340185596046</v>
      </c>
      <c r="DJ27" s="4">
        <f t="shared" si="39"/>
        <v>6442.5576783740089</v>
      </c>
      <c r="DK27" s="4">
        <f t="shared" si="39"/>
        <v>6378.1321015902686</v>
      </c>
      <c r="DL27" s="4">
        <f t="shared" si="39"/>
        <v>6314.3507805743657</v>
      </c>
      <c r="DM27" s="4">
        <f t="shared" si="39"/>
        <v>6251.2072727686218</v>
      </c>
      <c r="DN27" s="4">
        <f t="shared" si="39"/>
        <v>6188.6952000409356</v>
      </c>
      <c r="DO27" s="4">
        <f t="shared" si="39"/>
        <v>6126.8082480405265</v>
      </c>
      <c r="DP27" s="4">
        <f t="shared" si="39"/>
        <v>6065.5401655601208</v>
      </c>
      <c r="DQ27" s="4">
        <f t="shared" si="39"/>
        <v>6004.8847639045198</v>
      </c>
      <c r="DR27" s="4">
        <f t="shared" si="39"/>
        <v>5944.8359162654742</v>
      </c>
      <c r="DS27" s="4">
        <f t="shared" si="39"/>
        <v>5885.3875571028193</v>
      </c>
      <c r="DT27" s="4">
        <f t="shared" si="39"/>
        <v>5826.5336815317914</v>
      </c>
      <c r="DU27" s="4">
        <f t="shared" si="39"/>
        <v>5768.2683447164736</v>
      </c>
      <c r="DV27" s="4">
        <f t="shared" si="39"/>
        <v>5710.5856612693087</v>
      </c>
      <c r="DW27" s="4">
        <f t="shared" si="39"/>
        <v>5653.4798046566157</v>
      </c>
      <c r="DX27" s="4">
        <f t="shared" si="39"/>
        <v>5596.9450066100499</v>
      </c>
      <c r="DY27" s="4">
        <f t="shared" si="39"/>
        <v>5540.9755565439491</v>
      </c>
      <c r="DZ27" s="4">
        <f t="shared" si="39"/>
        <v>5485.5658009785093</v>
      </c>
      <c r="EA27" s="4">
        <f t="shared" si="39"/>
        <v>5430.7101429687245</v>
      </c>
      <c r="EB27" s="4">
        <f t="shared" si="39"/>
        <v>5376.4030415390371</v>
      </c>
      <c r="EC27" s="4">
        <f t="shared" si="39"/>
        <v>5322.6390111236469</v>
      </c>
      <c r="ED27" s="4">
        <f t="shared" si="39"/>
        <v>5269.4126210124105</v>
      </c>
      <c r="EE27" s="4">
        <f t="shared" si="39"/>
        <v>5216.7184948022859</v>
      </c>
      <c r="EF27" s="4">
        <f t="shared" si="39"/>
        <v>5164.5513098542633</v>
      </c>
      <c r="EG27" s="4">
        <f t="shared" si="39"/>
        <v>5112.905796755721</v>
      </c>
      <c r="EH27" s="4">
        <f t="shared" si="39"/>
        <v>5061.776738788164</v>
      </c>
      <c r="EI27" s="4">
        <f t="shared" si="39"/>
        <v>5011.1589714002821</v>
      </c>
      <c r="EJ27" s="4">
        <f t="shared" si="39"/>
        <v>4961.0473816862796</v>
      </c>
      <c r="EK27" s="4">
        <f t="shared" si="39"/>
        <v>4911.4369078694172</v>
      </c>
      <c r="EL27" s="4">
        <f t="shared" si="39"/>
        <v>4862.3225387907232</v>
      </c>
      <c r="EM27" s="4">
        <f t="shared" si="39"/>
        <v>4813.6993134028162</v>
      </c>
      <c r="EN27" s="4">
        <f t="shared" si="39"/>
        <v>4765.5623202687884</v>
      </c>
      <c r="EO27" s="4">
        <f t="shared" si="39"/>
        <v>4717.9066970661006</v>
      </c>
      <c r="EP27" s="4">
        <f t="shared" si="39"/>
        <v>4670.72763009544</v>
      </c>
      <c r="EQ27" s="4">
        <f t="shared" si="39"/>
        <v>4624.0203537944853</v>
      </c>
      <c r="ER27" s="4">
        <f t="shared" si="39"/>
        <v>4577.7801502565408</v>
      </c>
      <c r="ES27" s="4">
        <f t="shared" si="39"/>
        <v>4532.0023487539756</v>
      </c>
      <c r="ET27" s="4">
        <f t="shared" si="39"/>
        <v>4486.6823252664362</v>
      </c>
      <c r="EU27" s="4">
        <f t="shared" si="39"/>
        <v>4441.8155020137719</v>
      </c>
      <c r="EV27" s="4">
        <f t="shared" si="39"/>
        <v>4397.3973469936345</v>
      </c>
      <c r="EW27" s="4">
        <f t="shared" si="39"/>
        <v>4353.4233735236985</v>
      </c>
    </row>
    <row r="28" spans="2:153" x14ac:dyDescent="0.3">
      <c r="B28" s="1" t="s">
        <v>2</v>
      </c>
      <c r="C28" s="3">
        <v>710.9</v>
      </c>
      <c r="D28" s="3">
        <v>710.9</v>
      </c>
      <c r="E28" s="3">
        <v>710.9</v>
      </c>
      <c r="F28" s="3">
        <v>710.9</v>
      </c>
      <c r="G28" s="3">
        <v>710.9</v>
      </c>
      <c r="H28" s="3">
        <v>710.9</v>
      </c>
      <c r="I28" s="3">
        <v>710.9</v>
      </c>
      <c r="J28" s="3">
        <v>710.9</v>
      </c>
      <c r="K28" s="3">
        <v>710.9</v>
      </c>
      <c r="L28" s="3">
        <v>710.9</v>
      </c>
      <c r="M28" s="3">
        <v>704.4</v>
      </c>
      <c r="N28" s="3">
        <f>702.5</f>
        <v>702.5</v>
      </c>
      <c r="O28" s="3">
        <f>700.6</f>
        <v>700.6</v>
      </c>
      <c r="P28" s="3">
        <f>700.6</f>
        <v>700.6</v>
      </c>
      <c r="Q28" s="3">
        <f>700.6</f>
        <v>700.6</v>
      </c>
      <c r="R28" s="3">
        <f>700.6</f>
        <v>700.6</v>
      </c>
      <c r="V28" s="3">
        <v>710.9</v>
      </c>
      <c r="W28" s="3">
        <v>710.9</v>
      </c>
      <c r="X28" s="3">
        <v>710.9</v>
      </c>
      <c r="Y28" s="3">
        <f t="shared" ref="Y28" si="40">702.5</f>
        <v>702.5</v>
      </c>
      <c r="Z28" s="3">
        <f t="shared" ref="Z28:AJ28" si="41">700.6</f>
        <v>700.6</v>
      </c>
      <c r="AA28" s="3">
        <f t="shared" si="41"/>
        <v>700.6</v>
      </c>
      <c r="AB28" s="3">
        <f t="shared" si="41"/>
        <v>700.6</v>
      </c>
      <c r="AC28" s="3">
        <f t="shared" si="41"/>
        <v>700.6</v>
      </c>
      <c r="AD28" s="3">
        <f t="shared" si="41"/>
        <v>700.6</v>
      </c>
      <c r="AE28" s="3">
        <f t="shared" si="41"/>
        <v>700.6</v>
      </c>
      <c r="AF28" s="3">
        <f t="shared" si="41"/>
        <v>700.6</v>
      </c>
      <c r="AG28" s="3">
        <f t="shared" si="41"/>
        <v>700.6</v>
      </c>
      <c r="AH28" s="3">
        <f t="shared" si="41"/>
        <v>700.6</v>
      </c>
      <c r="AI28" s="3">
        <f t="shared" si="41"/>
        <v>700.6</v>
      </c>
      <c r="AJ28" s="3">
        <f t="shared" si="41"/>
        <v>700.6</v>
      </c>
    </row>
    <row r="29" spans="2:153" x14ac:dyDescent="0.3">
      <c r="B29" s="1" t="s">
        <v>35</v>
      </c>
      <c r="C29" s="6">
        <f t="shared" ref="C29:L29" si="42">C27/C28</f>
        <v>2.9525953017302013</v>
      </c>
      <c r="D29" s="6">
        <f t="shared" si="42"/>
        <v>2.762695175130117</v>
      </c>
      <c r="E29" s="6">
        <f t="shared" si="42"/>
        <v>2.643128428752286</v>
      </c>
      <c r="F29" s="6">
        <f t="shared" si="42"/>
        <v>2.2112814741876496</v>
      </c>
      <c r="G29" s="6">
        <f t="shared" si="42"/>
        <v>2.5545083696722464</v>
      </c>
      <c r="H29" s="6">
        <f t="shared" si="42"/>
        <v>3.0580953720635815</v>
      </c>
      <c r="I29" s="6">
        <f t="shared" si="42"/>
        <v>3.4477422984948656</v>
      </c>
      <c r="J29" s="6">
        <f t="shared" si="42"/>
        <v>2.7190884793923198</v>
      </c>
      <c r="K29" s="6">
        <f t="shared" si="42"/>
        <v>3.4280489520326349</v>
      </c>
      <c r="L29" s="6">
        <f t="shared" si="42"/>
        <v>4.2411028274018854</v>
      </c>
      <c r="M29" s="6">
        <f t="shared" ref="M29:N29" si="43">M27/M28</f>
        <v>3.5590573537762635</v>
      </c>
      <c r="N29" s="6">
        <f t="shared" si="43"/>
        <v>3.0889679715302489</v>
      </c>
      <c r="O29" s="6">
        <f t="shared" ref="O29:R29" si="44">O27/O28</f>
        <v>3.6882671995432483</v>
      </c>
      <c r="P29" s="6">
        <f t="shared" si="44"/>
        <v>4.2491010362546389</v>
      </c>
      <c r="Q29" s="6">
        <f t="shared" si="44"/>
        <v>4.1398780673708258</v>
      </c>
      <c r="R29" s="6">
        <f t="shared" si="44"/>
        <v>3.2876195047102454</v>
      </c>
      <c r="V29" s="6">
        <f>V27/V28</f>
        <v>8.9196792797861875</v>
      </c>
      <c r="W29" s="6">
        <f>W27/W28</f>
        <v>10.569700379800253</v>
      </c>
      <c r="X29" s="6">
        <f>X27/X28</f>
        <v>11.779434519623013</v>
      </c>
      <c r="Y29" s="6">
        <f>Y27/Y28</f>
        <v>14.418505338078292</v>
      </c>
      <c r="Z29" s="6">
        <f>Z27/Z28</f>
        <v>15.36486580787896</v>
      </c>
      <c r="AA29" s="6">
        <f t="shared" ref="AA29:AJ29" si="45">AA27/AA28</f>
        <v>17.39878917156723</v>
      </c>
      <c r="AB29" s="6">
        <f t="shared" si="45"/>
        <v>17.956976623317157</v>
      </c>
      <c r="AC29" s="6">
        <f t="shared" si="45"/>
        <v>18.376309388341078</v>
      </c>
      <c r="AD29" s="6">
        <f t="shared" si="45"/>
        <v>18.678748708795972</v>
      </c>
      <c r="AE29" s="6">
        <f t="shared" si="45"/>
        <v>18.947818379640161</v>
      </c>
      <c r="AF29" s="6">
        <f t="shared" si="45"/>
        <v>19.179671888071024</v>
      </c>
      <c r="AG29" s="6">
        <f t="shared" si="45"/>
        <v>19.414691438078872</v>
      </c>
      <c r="AH29" s="6">
        <f t="shared" si="45"/>
        <v>19.652925640209354</v>
      </c>
      <c r="AI29" s="6">
        <f t="shared" si="45"/>
        <v>19.894423930116133</v>
      </c>
      <c r="AJ29" s="6">
        <f t="shared" si="45"/>
        <v>20.139236583592066</v>
      </c>
    </row>
    <row r="31" spans="2:153" x14ac:dyDescent="0.3">
      <c r="B31" s="1" t="s">
        <v>67</v>
      </c>
      <c r="G31" s="7">
        <f t="shared" ref="G31:K31" si="46">G3/C3-1</f>
        <v>0.16269202633504021</v>
      </c>
      <c r="H31" s="7">
        <f t="shared" si="46"/>
        <v>7.7225962149117144E-2</v>
      </c>
      <c r="I31" s="7">
        <f t="shared" si="46"/>
        <v>7.1355759429153842E-2</v>
      </c>
      <c r="J31" s="7">
        <f t="shared" si="46"/>
        <v>4.8515214469021073E-2</v>
      </c>
      <c r="K31" s="7">
        <f t="shared" si="46"/>
        <v>5.4485969548257129E-2</v>
      </c>
      <c r="L31" s="7">
        <f t="shared" ref="L31:R31" si="47">L3/H3-1</f>
        <v>4.4098573281452724E-2</v>
      </c>
      <c r="M31" s="7">
        <f t="shared" si="47"/>
        <v>4.4243577545195034E-2</v>
      </c>
      <c r="N31" s="7">
        <f t="shared" si="47"/>
        <v>6.9580419580419495E-2</v>
      </c>
      <c r="O31" s="7">
        <f t="shared" si="47"/>
        <v>4.3317422434367536E-2</v>
      </c>
      <c r="P31" s="7">
        <f t="shared" si="47"/>
        <v>6.0000000000000053E-2</v>
      </c>
      <c r="Q31" s="7">
        <f t="shared" si="47"/>
        <v>6.0000000000000053E-2</v>
      </c>
      <c r="R31" s="7">
        <f t="shared" si="47"/>
        <v>4.0000000000000036E-2</v>
      </c>
      <c r="W31" s="7">
        <f>W3/V3-1</f>
        <v>0.76518892844837483</v>
      </c>
      <c r="X31" s="7">
        <f t="shared" ref="X31:AJ31" si="48">X3/W3-1</f>
        <v>8.7088064022902589E-2</v>
      </c>
      <c r="Y31" s="7">
        <f t="shared" si="48"/>
        <v>5.3148192482643131E-2</v>
      </c>
      <c r="Z31" s="7">
        <f t="shared" si="48"/>
        <v>5.0812116390088979E-2</v>
      </c>
      <c r="AA31" s="7">
        <f t="shared" si="48"/>
        <v>2.0000000000000018E-2</v>
      </c>
      <c r="AB31" s="7">
        <f t="shared" si="48"/>
        <v>1.0000000000000009E-2</v>
      </c>
      <c r="AC31" s="7">
        <f t="shared" si="48"/>
        <v>1.0000000000000009E-2</v>
      </c>
      <c r="AD31" s="7">
        <f t="shared" si="48"/>
        <v>1.0000000000000009E-2</v>
      </c>
      <c r="AE31" s="7">
        <f t="shared" si="48"/>
        <v>1.0000000000000009E-2</v>
      </c>
      <c r="AF31" s="7">
        <f t="shared" si="48"/>
        <v>1.0000000000000009E-2</v>
      </c>
      <c r="AG31" s="7">
        <f t="shared" si="48"/>
        <v>1.0000000000000009E-2</v>
      </c>
      <c r="AH31" s="7">
        <f t="shared" si="48"/>
        <v>1.0000000000000009E-2</v>
      </c>
      <c r="AI31" s="7">
        <f t="shared" si="48"/>
        <v>1.0000000000000009E-2</v>
      </c>
      <c r="AJ31" s="7">
        <f t="shared" si="48"/>
        <v>1.0000000000000009E-2</v>
      </c>
    </row>
    <row r="32" spans="2:153" x14ac:dyDescent="0.3">
      <c r="B32" s="1" t="s">
        <v>68</v>
      </c>
      <c r="G32" s="7">
        <f t="shared" ref="G32:M32" si="49">G4/C4-1</f>
        <v>0.2037947997189038</v>
      </c>
      <c r="H32" s="7">
        <f t="shared" si="49"/>
        <v>0.20796758946657667</v>
      </c>
      <c r="I32" s="7">
        <f t="shared" si="49"/>
        <v>0.19792342634652815</v>
      </c>
      <c r="J32" s="7">
        <f t="shared" si="49"/>
        <v>0.17353846153846164</v>
      </c>
      <c r="K32" s="7">
        <f t="shared" si="49"/>
        <v>0.15236427320490376</v>
      </c>
      <c r="L32" s="7">
        <f t="shared" si="49"/>
        <v>0.1514812744550027</v>
      </c>
      <c r="M32" s="7">
        <f t="shared" si="49"/>
        <v>0.17551462621885161</v>
      </c>
      <c r="N32" s="7">
        <f>N4/J4-1</f>
        <v>0.1772417409543785</v>
      </c>
      <c r="O32" s="7">
        <f>O4/K4-1</f>
        <v>0.18186423505572447</v>
      </c>
      <c r="P32" s="7">
        <f>P4/L4-1</f>
        <v>0.15999999999999992</v>
      </c>
      <c r="Q32" s="7">
        <f>Q4/M4-1</f>
        <v>0.14999999999999991</v>
      </c>
      <c r="R32" s="7">
        <f>R4/N4-1</f>
        <v>0.12999999999999989</v>
      </c>
      <c r="W32" s="7">
        <f>W4/V4-1</f>
        <v>0.57621397039729949</v>
      </c>
      <c r="X32" s="7">
        <f t="shared" ref="X32:AJ32" si="50">X4/W4-1</f>
        <v>0.19522240527182877</v>
      </c>
      <c r="Y32" s="7">
        <f t="shared" si="50"/>
        <v>0.16457615437629225</v>
      </c>
      <c r="Z32" s="7">
        <f t="shared" si="50"/>
        <v>0.15456858799857986</v>
      </c>
      <c r="AA32" s="7">
        <f t="shared" si="50"/>
        <v>9.000000000000008E-2</v>
      </c>
      <c r="AB32" s="7">
        <f t="shared" si="50"/>
        <v>7.0000000000000062E-2</v>
      </c>
      <c r="AC32" s="7">
        <f t="shared" si="50"/>
        <v>5.0000000000000044E-2</v>
      </c>
      <c r="AD32" s="7">
        <f t="shared" si="50"/>
        <v>4.0000000000000036E-2</v>
      </c>
      <c r="AE32" s="7">
        <f t="shared" si="50"/>
        <v>3.0000000000000027E-2</v>
      </c>
      <c r="AF32" s="7">
        <f t="shared" si="50"/>
        <v>2.0000000000000018E-2</v>
      </c>
      <c r="AG32" s="7">
        <f t="shared" si="50"/>
        <v>2.0000000000000018E-2</v>
      </c>
      <c r="AH32" s="7">
        <f t="shared" si="50"/>
        <v>2.0000000000000018E-2</v>
      </c>
      <c r="AI32" s="7">
        <f t="shared" si="50"/>
        <v>2.0000000000000018E-2</v>
      </c>
      <c r="AJ32" s="7">
        <f t="shared" si="50"/>
        <v>2.0000000000000018E-2</v>
      </c>
    </row>
    <row r="33" spans="2:40" x14ac:dyDescent="0.3">
      <c r="B33" s="1" t="s">
        <v>69</v>
      </c>
      <c r="G33" s="7">
        <f t="shared" ref="G33:M33" si="51">G5/C5-1</f>
        <v>0.3443708609271523</v>
      </c>
      <c r="H33" s="7">
        <f t="shared" si="51"/>
        <v>-2.6086956521739091E-2</v>
      </c>
      <c r="I33" s="7">
        <f t="shared" si="51"/>
        <v>7.8699743370401976E-2</v>
      </c>
      <c r="J33" s="7">
        <f t="shared" si="51"/>
        <v>9.5681625740897447E-2</v>
      </c>
      <c r="K33" s="7">
        <f t="shared" si="51"/>
        <v>6.075533661740562E-2</v>
      </c>
      <c r="L33" s="7">
        <f t="shared" si="51"/>
        <v>3.8961038961038863E-2</v>
      </c>
      <c r="M33" s="7">
        <f t="shared" si="51"/>
        <v>4.7581284694686587E-3</v>
      </c>
      <c r="N33" s="7">
        <f>N5/J5-1</f>
        <v>-3.0911901081916993E-3</v>
      </c>
      <c r="O33" s="7">
        <f>O7/K7-1</f>
        <v>2.6221692491060766E-2</v>
      </c>
      <c r="P33" s="7">
        <f t="shared" ref="P33:R34" si="52">P5/L5-1</f>
        <v>2.0000000000000018E-2</v>
      </c>
      <c r="Q33" s="7">
        <f t="shared" si="52"/>
        <v>2.0000000000000018E-2</v>
      </c>
      <c r="R33" s="7">
        <f t="shared" si="52"/>
        <v>2.0000000000000018E-2</v>
      </c>
      <c r="W33" s="7">
        <f>W5/V5-1</f>
        <v>1.0719523373052247</v>
      </c>
      <c r="X33" s="7">
        <f>X5/W5-1</f>
        <v>0.1070559610705597</v>
      </c>
      <c r="Y33" s="7">
        <f>Y5/X5-1</f>
        <v>2.4775224775224869E-2</v>
      </c>
      <c r="Z33" s="7">
        <f>Z7/Y7-1</f>
        <v>2.3970436067997092E-2</v>
      </c>
      <c r="AA33" s="7">
        <f t="shared" ref="AA33:AJ33" si="53">AA7/Z7-1</f>
        <v>2.0000000000000018E-2</v>
      </c>
      <c r="AB33" s="7">
        <f t="shared" si="53"/>
        <v>1.0000000000000009E-2</v>
      </c>
      <c r="AC33" s="7">
        <f t="shared" si="53"/>
        <v>1.0000000000000009E-2</v>
      </c>
      <c r="AD33" s="7">
        <f t="shared" si="53"/>
        <v>1.0000000000000009E-2</v>
      </c>
      <c r="AE33" s="7">
        <f t="shared" si="53"/>
        <v>1.0000000000000009E-2</v>
      </c>
      <c r="AF33" s="7">
        <f t="shared" si="53"/>
        <v>1.0000000000000009E-2</v>
      </c>
      <c r="AG33" s="7">
        <f t="shared" si="53"/>
        <v>1.0000000000000009E-2</v>
      </c>
      <c r="AH33" s="7">
        <f t="shared" si="53"/>
        <v>1.0000000000000009E-2</v>
      </c>
      <c r="AI33" s="7">
        <f t="shared" si="53"/>
        <v>1.0000000000000009E-2</v>
      </c>
      <c r="AJ33" s="7">
        <f t="shared" si="53"/>
        <v>1.0000000000000009E-2</v>
      </c>
    </row>
    <row r="34" spans="2:40" x14ac:dyDescent="0.3">
      <c r="B34" s="1" t="s">
        <v>70</v>
      </c>
      <c r="G34" s="7">
        <f t="shared" ref="G34:M34" si="54">G6/C6-1</f>
        <v>0.12903225806451624</v>
      </c>
      <c r="H34" s="7">
        <f t="shared" si="54"/>
        <v>7.4519230769230838E-2</v>
      </c>
      <c r="I34" s="7">
        <f t="shared" si="54"/>
        <v>9.52380952380949E-3</v>
      </c>
      <c r="J34" s="7">
        <f t="shared" si="54"/>
        <v>-3.4965034965035002E-2</v>
      </c>
      <c r="K34" s="7">
        <f t="shared" si="54"/>
        <v>-8.0952380952380998E-2</v>
      </c>
      <c r="L34" s="7">
        <f t="shared" si="54"/>
        <v>-8.7248322147650992E-2</v>
      </c>
      <c r="M34" s="7">
        <f t="shared" si="54"/>
        <v>-2.5943396226415061E-2</v>
      </c>
      <c r="N34" s="7">
        <f>N6/J6-1</f>
        <v>3.6231884057970953E-2</v>
      </c>
      <c r="O34" s="7"/>
      <c r="P34" s="7">
        <f t="shared" si="52"/>
        <v>4.0000000000000036E-2</v>
      </c>
      <c r="Q34" s="7">
        <f t="shared" si="52"/>
        <v>4.0000000000000036E-2</v>
      </c>
      <c r="R34" s="7">
        <f t="shared" si="52"/>
        <v>2.0000000000000018E-2</v>
      </c>
      <c r="W34" s="7">
        <f>W6/V6-1</f>
        <v>0.42844677137870857</v>
      </c>
      <c r="X34" s="7">
        <f>X6/W6-1</f>
        <v>4.1539401343921867E-2</v>
      </c>
      <c r="Y34" s="7">
        <f>Y6/X6-1</f>
        <v>-4.0469208211143748E-2</v>
      </c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2:40" x14ac:dyDescent="0.3">
      <c r="B35" s="1" t="s">
        <v>65</v>
      </c>
      <c r="G35" s="7">
        <f t="shared" ref="G35:K37" si="55">G9/C9-1</f>
        <v>0.75238095238095237</v>
      </c>
      <c r="H35" s="7">
        <f t="shared" ref="H35:H36" si="56">H9/D9-1</f>
        <v>0.70596641657734915</v>
      </c>
      <c r="I35" s="7">
        <f t="shared" ref="I35:I36" si="57">I9/E9-1</f>
        <v>0.55305275637225848</v>
      </c>
      <c r="J35" s="7">
        <f t="shared" ref="J35:J36" si="58">J9/F9-1</f>
        <v>0.40025220680958395</v>
      </c>
      <c r="K35" s="7">
        <f t="shared" ref="K35:K36" si="59">K9/G9-1</f>
        <v>0.30774456521739135</v>
      </c>
      <c r="L35" s="7">
        <f t="shared" ref="L35:L36" si="60">L9/H9-1</f>
        <v>0.21340314136125649</v>
      </c>
      <c r="M35" s="7">
        <f t="shared" ref="M35:M36" si="61">M9/I9-1</f>
        <v>0.17347328244274807</v>
      </c>
      <c r="N35" s="7">
        <f t="shared" ref="N35:N36" si="62">N9/J9-1</f>
        <v>9.4560518731988452E-2</v>
      </c>
      <c r="O35" s="7">
        <f t="shared" ref="O35:O37" si="63">O9/K9-1</f>
        <v>6.2337662337662358E-2</v>
      </c>
      <c r="P35" s="7">
        <f t="shared" ref="P35:P37" si="64">P9/L9-1</f>
        <v>6.0000000000000053E-2</v>
      </c>
      <c r="Q35" s="7">
        <f t="shared" ref="Q35:Q37" si="65">Q9/M9-1</f>
        <v>2.0000000000000018E-2</v>
      </c>
      <c r="R35" s="7">
        <f t="shared" ref="R35:R37" si="66">R9/N9-1</f>
        <v>4.0000000000000036E-2</v>
      </c>
      <c r="W35" s="7">
        <f t="shared" ref="W35:AJ35" si="67">W9/V9-1</f>
        <v>0.90833710236695309</v>
      </c>
      <c r="X35" s="7">
        <f t="shared" si="67"/>
        <v>0.57868541633749415</v>
      </c>
      <c r="Y35" s="7">
        <f t="shared" si="67"/>
        <v>0.19076214782565182</v>
      </c>
      <c r="Z35" s="7">
        <f t="shared" si="67"/>
        <v>4.5122924984240198E-2</v>
      </c>
      <c r="AA35" s="7">
        <f t="shared" si="67"/>
        <v>5.0000000000000044E-2</v>
      </c>
      <c r="AB35" s="7">
        <f t="shared" si="67"/>
        <v>3.0000000000000027E-2</v>
      </c>
      <c r="AC35" s="7">
        <f t="shared" si="67"/>
        <v>2.0000000000000018E-2</v>
      </c>
      <c r="AD35" s="7">
        <f t="shared" si="67"/>
        <v>1.0000000000000009E-2</v>
      </c>
      <c r="AE35" s="7">
        <f t="shared" si="67"/>
        <v>1.0000000000000009E-2</v>
      </c>
      <c r="AF35" s="7">
        <f t="shared" si="67"/>
        <v>1.0000000000000009E-2</v>
      </c>
      <c r="AG35" s="7">
        <f t="shared" si="67"/>
        <v>1.0000000000000009E-2</v>
      </c>
      <c r="AH35" s="7">
        <f t="shared" si="67"/>
        <v>1.0000000000000009E-2</v>
      </c>
      <c r="AI35" s="7">
        <f t="shared" si="67"/>
        <v>1.0000000000000009E-2</v>
      </c>
      <c r="AJ35" s="7">
        <f t="shared" si="67"/>
        <v>1.0000000000000009E-2</v>
      </c>
    </row>
    <row r="36" spans="2:40" x14ac:dyDescent="0.3">
      <c r="B36" s="1" t="s">
        <v>71</v>
      </c>
      <c r="G36" s="7">
        <f t="shared" si="55"/>
        <v>3.4641744548286608</v>
      </c>
      <c r="H36" s="7">
        <f t="shared" si="56"/>
        <v>2.8041002277904328</v>
      </c>
      <c r="I36" s="7">
        <f t="shared" si="57"/>
        <v>1.2587939698492461</v>
      </c>
      <c r="J36" s="7">
        <f t="shared" si="58"/>
        <v>0.61391880695940348</v>
      </c>
      <c r="K36" s="7">
        <f t="shared" si="59"/>
        <v>0.39986043265875781</v>
      </c>
      <c r="L36" s="7">
        <f t="shared" si="60"/>
        <v>0.23592814371257487</v>
      </c>
      <c r="M36" s="7">
        <f t="shared" si="61"/>
        <v>0.19187986651835365</v>
      </c>
      <c r="N36" s="7">
        <f t="shared" si="62"/>
        <v>4.6714579055441519E-2</v>
      </c>
      <c r="O36" s="7">
        <f t="shared" si="63"/>
        <v>-1.9940179461615193E-2</v>
      </c>
      <c r="P36" s="7">
        <f t="shared" si="64"/>
        <v>-1.0000000000000009E-2</v>
      </c>
      <c r="Q36" s="7">
        <f t="shared" si="65"/>
        <v>-2.0000000000000018E-2</v>
      </c>
      <c r="R36" s="7">
        <f t="shared" si="66"/>
        <v>-1.0000000000000009E-2</v>
      </c>
      <c r="W36" s="7">
        <f t="shared" ref="W36:AJ36" si="68">W10/V10-1</f>
        <v>1.7880928355196772</v>
      </c>
      <c r="X36" s="7">
        <f t="shared" si="68"/>
        <v>1.4788273615635181</v>
      </c>
      <c r="Y36" s="7">
        <f t="shared" si="68"/>
        <v>0.20484742298145719</v>
      </c>
      <c r="Z36" s="7">
        <f t="shared" si="68"/>
        <v>-1.5013330101793509E-2</v>
      </c>
      <c r="AA36" s="7">
        <f t="shared" si="68"/>
        <v>5.0000000000000044E-2</v>
      </c>
      <c r="AB36" s="7">
        <f t="shared" si="68"/>
        <v>3.0000000000000027E-2</v>
      </c>
      <c r="AC36" s="7">
        <f t="shared" si="68"/>
        <v>2.0000000000000018E-2</v>
      </c>
      <c r="AD36" s="7">
        <f t="shared" si="68"/>
        <v>1.0000000000000009E-2</v>
      </c>
      <c r="AE36" s="7">
        <f t="shared" si="68"/>
        <v>1.0000000000000009E-2</v>
      </c>
      <c r="AF36" s="7">
        <f t="shared" si="68"/>
        <v>1.0000000000000009E-2</v>
      </c>
      <c r="AG36" s="7">
        <f t="shared" si="68"/>
        <v>1.0000000000000009E-2</v>
      </c>
      <c r="AH36" s="7">
        <f t="shared" si="68"/>
        <v>1.0000000000000009E-2</v>
      </c>
      <c r="AI36" s="7">
        <f t="shared" si="68"/>
        <v>1.0000000000000009E-2</v>
      </c>
      <c r="AJ36" s="7">
        <f t="shared" si="68"/>
        <v>1.0000000000000009E-2</v>
      </c>
    </row>
    <row r="37" spans="2:40" x14ac:dyDescent="0.3">
      <c r="B37" s="1" t="s">
        <v>66</v>
      </c>
      <c r="G37" s="7">
        <f t="shared" si="55"/>
        <v>0.35652569349704422</v>
      </c>
      <c r="H37" s="7">
        <f t="shared" si="55"/>
        <v>0.31567796610169485</v>
      </c>
      <c r="I37" s="7">
        <f t="shared" si="55"/>
        <v>0.33514352211016285</v>
      </c>
      <c r="J37" s="7">
        <f t="shared" si="55"/>
        <v>0.30674401740391599</v>
      </c>
      <c r="K37" s="7">
        <f t="shared" si="55"/>
        <v>0.26349312772376798</v>
      </c>
      <c r="L37" s="7">
        <f>L11/H11-1</f>
        <v>0.20128824476650564</v>
      </c>
      <c r="M37" s="7">
        <f>M11/I11-1</f>
        <v>0.16385822196397437</v>
      </c>
      <c r="N37" s="7">
        <f t="shared" ref="N37" si="69">N11/J11-1</f>
        <v>0.12042175360710328</v>
      </c>
      <c r="O37" s="7">
        <f t="shared" si="63"/>
        <v>0.10612894667020423</v>
      </c>
      <c r="P37" s="7">
        <f t="shared" si="64"/>
        <v>9.8734584450402396E-2</v>
      </c>
      <c r="Q37" s="7">
        <f t="shared" si="65"/>
        <v>4.1397903145282022E-2</v>
      </c>
      <c r="R37" s="7">
        <f t="shared" si="66"/>
        <v>6.5247647350173521E-2</v>
      </c>
      <c r="W37" s="7">
        <f t="shared" ref="W37:X37" si="70">W11/V11-1</f>
        <v>0.75381070542360873</v>
      </c>
      <c r="X37" s="7">
        <f t="shared" si="70"/>
        <v>0.32733703890853971</v>
      </c>
      <c r="Y37" s="7">
        <f>Y11/X11-1</f>
        <v>0.18341708542713575</v>
      </c>
      <c r="Z37" s="7">
        <f t="shared" ref="Z37:AJ37" si="71">Z11/Y11-1</f>
        <v>7.7050119024641095E-2</v>
      </c>
      <c r="AA37" s="7">
        <f t="shared" si="71"/>
        <v>5.0000000000000266E-2</v>
      </c>
      <c r="AB37" s="7">
        <f t="shared" si="71"/>
        <v>2.9999999999999805E-2</v>
      </c>
      <c r="AC37" s="7">
        <f t="shared" si="71"/>
        <v>2.0000000000000018E-2</v>
      </c>
      <c r="AD37" s="7">
        <f t="shared" si="71"/>
        <v>1.0000000000000009E-2</v>
      </c>
      <c r="AE37" s="7">
        <f t="shared" si="71"/>
        <v>1.0000000000000009E-2</v>
      </c>
      <c r="AF37" s="7">
        <f t="shared" si="71"/>
        <v>1.0000000000000009E-2</v>
      </c>
      <c r="AG37" s="7">
        <f t="shared" si="71"/>
        <v>1.0000000000000009E-2</v>
      </c>
      <c r="AH37" s="7">
        <f t="shared" si="71"/>
        <v>1.0000000000000009E-2</v>
      </c>
      <c r="AI37" s="7">
        <f t="shared" si="71"/>
        <v>1.0000000000000009E-2</v>
      </c>
      <c r="AJ37" s="7">
        <f t="shared" si="71"/>
        <v>9.9999999999997868E-3</v>
      </c>
    </row>
    <row r="38" spans="2:40" x14ac:dyDescent="0.3">
      <c r="B38" s="1" t="s">
        <v>47</v>
      </c>
      <c r="C38" s="7"/>
      <c r="D38" s="7"/>
      <c r="E38" s="7"/>
      <c r="F38" s="7"/>
      <c r="G38" s="7">
        <f t="shared" ref="G38:K38" si="72">G16/C16-1</f>
        <v>0.30341738553417374</v>
      </c>
      <c r="H38" s="7">
        <f t="shared" si="72"/>
        <v>0.20890559491108873</v>
      </c>
      <c r="I38" s="7">
        <f t="shared" si="72"/>
        <v>0.19697603121516161</v>
      </c>
      <c r="J38" s="7">
        <f t="shared" si="72"/>
        <v>0.15367613599427932</v>
      </c>
      <c r="K38" s="7">
        <f t="shared" si="72"/>
        <v>0.13319333078783258</v>
      </c>
      <c r="L38" s="7">
        <f>L16/H16-1</f>
        <v>0.10003587658454904</v>
      </c>
      <c r="M38" s="7">
        <f t="shared" ref="M38:N38" si="73">M16/I16-1</f>
        <v>9.3136969555853044E-2</v>
      </c>
      <c r="N38" s="7">
        <f t="shared" si="73"/>
        <v>8.2887248549050607E-2</v>
      </c>
      <c r="O38" s="7">
        <f t="shared" ref="O38" si="74">O16/K16-1</f>
        <v>6.3233559836019637E-2</v>
      </c>
      <c r="P38" s="7">
        <f t="shared" ref="P38" si="75">P16/L16-1</f>
        <v>6.7970864814915544E-2</v>
      </c>
      <c r="Q38" s="7">
        <f t="shared" ref="Q38" si="76">Q16/M16-1</f>
        <v>5.416369348740635E-2</v>
      </c>
      <c r="R38" s="7">
        <f t="shared" ref="R38" si="77">R16/N16-1</f>
        <v>4.8724633156415731E-2</v>
      </c>
      <c r="V38" s="7"/>
      <c r="W38" s="7">
        <f>W16/V16-1</f>
        <v>0.78136809069365265</v>
      </c>
      <c r="X38" s="7">
        <f t="shared" ref="X38:AJ38" si="78">X16/W16-1</f>
        <v>0.21103820224719105</v>
      </c>
      <c r="Y38" s="7">
        <f t="shared" si="78"/>
        <v>0.10149337925301349</v>
      </c>
      <c r="Z38" s="7">
        <f t="shared" si="78"/>
        <v>5.8354873923532002E-2</v>
      </c>
      <c r="AA38" s="7">
        <f t="shared" si="78"/>
        <v>3.8195460161650763E-2</v>
      </c>
      <c r="AB38" s="7">
        <f t="shared" si="78"/>
        <v>2.4230455888448077E-2</v>
      </c>
      <c r="AC38" s="7">
        <f t="shared" si="78"/>
        <v>1.8670545596600974E-2</v>
      </c>
      <c r="AD38" s="7">
        <f t="shared" si="78"/>
        <v>1.4213027022785152E-2</v>
      </c>
      <c r="AE38" s="7">
        <f t="shared" si="78"/>
        <v>1.2880097170222538E-2</v>
      </c>
      <c r="AF38" s="7">
        <f t="shared" si="78"/>
        <v>1.1464388575517015E-2</v>
      </c>
      <c r="AG38" s="7">
        <f t="shared" si="78"/>
        <v>1.1476746353008771E-2</v>
      </c>
      <c r="AH38" s="7">
        <f t="shared" si="78"/>
        <v>1.1489190221624312E-2</v>
      </c>
      <c r="AI38" s="7">
        <f t="shared" si="78"/>
        <v>1.1501720473872545E-2</v>
      </c>
      <c r="AJ38" s="7">
        <f t="shared" si="78"/>
        <v>1.1514337397896313E-2</v>
      </c>
    </row>
    <row r="39" spans="2:40" x14ac:dyDescent="0.3">
      <c r="B39" s="1" t="s">
        <v>48</v>
      </c>
      <c r="C39" s="7">
        <f t="shared" ref="C39:K39" si="79">C21/C16</f>
        <v>0.57962840079628397</v>
      </c>
      <c r="D39" s="7">
        <f t="shared" si="79"/>
        <v>0.52855284082694809</v>
      </c>
      <c r="E39" s="7">
        <f t="shared" si="79"/>
        <v>0.50438963210702337</v>
      </c>
      <c r="F39" s="7">
        <f t="shared" si="79"/>
        <v>0.47045439771175973</v>
      </c>
      <c r="G39" s="7">
        <f t="shared" si="79"/>
        <v>0.45080819651266385</v>
      </c>
      <c r="H39" s="7">
        <f t="shared" si="79"/>
        <v>0.45222434824204738</v>
      </c>
      <c r="I39" s="7">
        <f t="shared" si="79"/>
        <v>0.46498632050759647</v>
      </c>
      <c r="J39" s="7">
        <f t="shared" si="79"/>
        <v>0.44880824928156871</v>
      </c>
      <c r="K39" s="7">
        <f t="shared" si="79"/>
        <v>0.46021227607120796</v>
      </c>
      <c r="L39" s="7">
        <f>L21/L16</f>
        <v>0.44882317769201502</v>
      </c>
      <c r="M39" s="7">
        <f>M21/M16</f>
        <v>0.4527930134724959</v>
      </c>
      <c r="N39" s="7">
        <f>N21/N16</f>
        <v>0.44447913414507234</v>
      </c>
      <c r="O39" s="7">
        <f t="shared" ref="O39:R39" si="80">O21/O16</f>
        <v>0.45328262821528548</v>
      </c>
      <c r="P39" s="7">
        <f t="shared" si="80"/>
        <v>0.44999999999999996</v>
      </c>
      <c r="Q39" s="7">
        <f t="shared" si="80"/>
        <v>0.44999999999999996</v>
      </c>
      <c r="R39" s="7">
        <f t="shared" si="80"/>
        <v>0.43999999999999989</v>
      </c>
      <c r="V39" s="7">
        <f t="shared" ref="V39:AJ39" si="81">V21/V16</f>
        <v>0.63312624095305192</v>
      </c>
      <c r="W39" s="7">
        <f t="shared" si="81"/>
        <v>0.51732134831460674</v>
      </c>
      <c r="X39" s="7">
        <f t="shared" si="81"/>
        <v>0.45424856006175407</v>
      </c>
      <c r="Y39" s="7">
        <f t="shared" si="81"/>
        <v>0.45143596447487233</v>
      </c>
      <c r="Z39" s="7">
        <f t="shared" si="81"/>
        <v>0.4482249822649631</v>
      </c>
      <c r="AA39" s="7">
        <f t="shared" si="81"/>
        <v>0.45000000000000007</v>
      </c>
      <c r="AB39" s="7">
        <f t="shared" si="81"/>
        <v>0.45</v>
      </c>
      <c r="AC39" s="7">
        <f t="shared" si="81"/>
        <v>0.44999999999999996</v>
      </c>
      <c r="AD39" s="7">
        <f t="shared" si="81"/>
        <v>0.44999999999999996</v>
      </c>
      <c r="AE39" s="7">
        <f t="shared" si="81"/>
        <v>0.45</v>
      </c>
      <c r="AF39" s="7">
        <f t="shared" si="81"/>
        <v>0.45000000000000007</v>
      </c>
      <c r="AG39" s="7">
        <f t="shared" si="81"/>
        <v>0.44999999999999996</v>
      </c>
      <c r="AH39" s="7">
        <f t="shared" si="81"/>
        <v>0.45</v>
      </c>
      <c r="AI39" s="7">
        <f t="shared" si="81"/>
        <v>0.45000000000000007</v>
      </c>
      <c r="AJ39" s="7">
        <f t="shared" si="81"/>
        <v>0.45</v>
      </c>
      <c r="AM39" s="1" t="s">
        <v>54</v>
      </c>
      <c r="AN39" s="7">
        <v>-0.01</v>
      </c>
    </row>
    <row r="40" spans="2:40" x14ac:dyDescent="0.3">
      <c r="B40" s="1" t="s">
        <v>49</v>
      </c>
      <c r="C40" s="7">
        <f t="shared" ref="C40:K40" si="82">C22/C16</f>
        <v>0.10152621101526212</v>
      </c>
      <c r="D40" s="7">
        <f t="shared" si="82"/>
        <v>0.10857308081538239</v>
      </c>
      <c r="E40" s="7">
        <f t="shared" si="82"/>
        <v>0.10158862876254181</v>
      </c>
      <c r="F40" s="7">
        <f t="shared" si="82"/>
        <v>8.2818695963076117E-2</v>
      </c>
      <c r="G40" s="7">
        <f t="shared" si="82"/>
        <v>8.5337915234822453E-2</v>
      </c>
      <c r="H40" s="7">
        <f t="shared" si="82"/>
        <v>8.4190385075340823E-2</v>
      </c>
      <c r="I40" s="7">
        <f t="shared" si="82"/>
        <v>7.1948308981896497E-2</v>
      </c>
      <c r="J40" s="7">
        <f t="shared" si="82"/>
        <v>6.9194793486223025E-2</v>
      </c>
      <c r="K40" s="7">
        <f t="shared" si="82"/>
        <v>8.2888751614533615E-2</v>
      </c>
      <c r="L40" s="7">
        <f>L22/L16</f>
        <v>8.0447899113985977E-2</v>
      </c>
      <c r="M40" s="7">
        <f t="shared" ref="M40:N40" si="83">M22/M16</f>
        <v>7.8278928590446772E-2</v>
      </c>
      <c r="N40" s="7">
        <f t="shared" si="83"/>
        <v>8.3983765220106157E-2</v>
      </c>
      <c r="O40" s="7">
        <f t="shared" ref="O40:R40" si="84">O22/O16</f>
        <v>7.848729731157239E-2</v>
      </c>
      <c r="P40" s="7">
        <f t="shared" si="84"/>
        <v>0.08</v>
      </c>
      <c r="Q40" s="7">
        <f t="shared" si="84"/>
        <v>0.08</v>
      </c>
      <c r="R40" s="7">
        <f t="shared" si="84"/>
        <v>0.08</v>
      </c>
      <c r="V40" s="7">
        <f t="shared" ref="V40:AJ40" si="85">V22/V16</f>
        <v>0.11868314865816948</v>
      </c>
      <c r="W40" s="7">
        <f t="shared" si="85"/>
        <v>9.8121348314606741E-2</v>
      </c>
      <c r="X40" s="7">
        <f t="shared" si="85"/>
        <v>7.7385547176533453E-2</v>
      </c>
      <c r="Y40" s="7">
        <f t="shared" si="85"/>
        <v>8.1400520208622526E-2</v>
      </c>
      <c r="Z40" s="7">
        <f t="shared" si="85"/>
        <v>7.9635303209599162E-2</v>
      </c>
      <c r="AA40" s="7">
        <f t="shared" si="85"/>
        <v>0.08</v>
      </c>
      <c r="AB40" s="7">
        <f t="shared" si="85"/>
        <v>0.08</v>
      </c>
      <c r="AC40" s="7">
        <f t="shared" si="85"/>
        <v>0.08</v>
      </c>
      <c r="AD40" s="7">
        <f t="shared" si="85"/>
        <v>0.08</v>
      </c>
      <c r="AE40" s="7">
        <f t="shared" si="85"/>
        <v>0.08</v>
      </c>
      <c r="AF40" s="7">
        <f t="shared" si="85"/>
        <v>0.08</v>
      </c>
      <c r="AG40" s="7">
        <f t="shared" si="85"/>
        <v>0.08</v>
      </c>
      <c r="AH40" s="7">
        <f t="shared" si="85"/>
        <v>0.08</v>
      </c>
      <c r="AI40" s="7">
        <f t="shared" si="85"/>
        <v>0.08</v>
      </c>
      <c r="AJ40" s="7">
        <f t="shared" si="85"/>
        <v>0.08</v>
      </c>
      <c r="AM40" s="1" t="s">
        <v>55</v>
      </c>
      <c r="AN40" s="7">
        <v>0.06</v>
      </c>
    </row>
    <row r="41" spans="2:40" x14ac:dyDescent="0.3">
      <c r="B41" s="1" t="s">
        <v>50</v>
      </c>
      <c r="C41" s="7"/>
      <c r="D41" s="7"/>
      <c r="E41" s="7"/>
      <c r="F41" s="7"/>
      <c r="G41" s="7">
        <f t="shared" ref="G41:K41" si="86">G23/C23-1</f>
        <v>0.2176541717049576</v>
      </c>
      <c r="H41" s="7">
        <f t="shared" si="86"/>
        <v>3.2488986784140916E-2</v>
      </c>
      <c r="I41" s="7">
        <f t="shared" si="86"/>
        <v>0.17105263157894735</v>
      </c>
      <c r="J41" s="7">
        <f t="shared" si="86"/>
        <v>4.7689282202556527E-2</v>
      </c>
      <c r="K41" s="7">
        <f t="shared" si="86"/>
        <v>4.170804369414105E-2</v>
      </c>
      <c r="L41" s="7">
        <f>L23/H23-1</f>
        <v>3.9466666666666761E-2</v>
      </c>
      <c r="M41" s="7">
        <f t="shared" ref="M41:N41" si="87">M23/I23-1</f>
        <v>9.7703957010253362E-4</v>
      </c>
      <c r="N41" s="7">
        <f t="shared" si="87"/>
        <v>-1.3608634443923018E-2</v>
      </c>
      <c r="O41" s="7">
        <f t="shared" ref="O41" si="88">O23/K23-1</f>
        <v>1.048617731172552E-2</v>
      </c>
      <c r="P41" s="7">
        <f t="shared" ref="P41" si="89">P23/L23-1</f>
        <v>-1.0000000000000009E-2</v>
      </c>
      <c r="Q41" s="7">
        <f t="shared" ref="Q41" si="90">Q23/M23-1</f>
        <v>1.0000000000000009E-2</v>
      </c>
      <c r="R41" s="7">
        <f t="shared" ref="R41" si="91">R23/N23-1</f>
        <v>1.0000000000000009E-2</v>
      </c>
      <c r="V41" s="7"/>
      <c r="W41" s="7">
        <f>W23/V23-1</f>
        <v>0.58133449629306577</v>
      </c>
      <c r="X41" s="7">
        <f t="shared" ref="X41:AJ41" si="92">X23/W23-1</f>
        <v>0.11238279095421944</v>
      </c>
      <c r="Y41" s="7">
        <f t="shared" si="92"/>
        <v>1.6238998388496295E-2</v>
      </c>
      <c r="Z41" s="7">
        <f t="shared" si="92"/>
        <v>5.3696023420346517E-3</v>
      </c>
      <c r="AA41" s="7">
        <f t="shared" si="92"/>
        <v>2.0000000000000018E-2</v>
      </c>
      <c r="AB41" s="7">
        <f t="shared" si="92"/>
        <v>1.0000000000000009E-2</v>
      </c>
      <c r="AC41" s="7">
        <f t="shared" si="92"/>
        <v>1.0000000000000009E-2</v>
      </c>
      <c r="AD41" s="7">
        <f t="shared" si="92"/>
        <v>1.0000000000000009E-2</v>
      </c>
      <c r="AE41" s="7">
        <f t="shared" si="92"/>
        <v>1.0000000000000009E-2</v>
      </c>
      <c r="AF41" s="7">
        <f t="shared" si="92"/>
        <v>1.0000000000000009E-2</v>
      </c>
      <c r="AG41" s="7">
        <f t="shared" si="92"/>
        <v>1.0000000000000009E-2</v>
      </c>
      <c r="AH41" s="7">
        <f t="shared" si="92"/>
        <v>1.0000000000000009E-2</v>
      </c>
      <c r="AI41" s="7">
        <f t="shared" si="92"/>
        <v>1.0000000000000009E-2</v>
      </c>
      <c r="AJ41" s="7">
        <f t="shared" si="92"/>
        <v>1.0000000000000009E-2</v>
      </c>
      <c r="AM41" s="1" t="s">
        <v>56</v>
      </c>
      <c r="AN41" s="3">
        <f>NPV(AN40,Z27:EW27)</f>
        <v>206822.43022615445</v>
      </c>
    </row>
    <row r="42" spans="2:40" x14ac:dyDescent="0.3">
      <c r="B42" s="1" t="s">
        <v>51</v>
      </c>
      <c r="C42" s="7">
        <f t="shared" ref="C42:K42" si="93">C24/C16</f>
        <v>0.11595885865958859</v>
      </c>
      <c r="D42" s="7">
        <f t="shared" si="93"/>
        <v>0.104886511493422</v>
      </c>
      <c r="E42" s="7">
        <f t="shared" si="93"/>
        <v>0.10967112597547381</v>
      </c>
      <c r="F42" s="7">
        <f t="shared" si="93"/>
        <v>0.13378404732496912</v>
      </c>
      <c r="G42" s="7">
        <f t="shared" si="93"/>
        <v>9.940180730558737E-2</v>
      </c>
      <c r="H42" s="7">
        <f t="shared" si="93"/>
        <v>9.2441999521645543E-2</v>
      </c>
      <c r="I42" s="7">
        <f t="shared" si="93"/>
        <v>9.3428022585715115E-2</v>
      </c>
      <c r="J42" s="7">
        <f t="shared" si="93"/>
        <v>0.11799177325745197</v>
      </c>
      <c r="K42" s="7">
        <f t="shared" si="93"/>
        <v>8.2888751614533615E-2</v>
      </c>
      <c r="L42" s="7">
        <f>L24/L16</f>
        <v>5.6422242756971247E-2</v>
      </c>
      <c r="M42" s="7">
        <f t="shared" ref="M42:N42" si="94">M24/M16</f>
        <v>9.4786729857819899E-2</v>
      </c>
      <c r="N42" s="7">
        <f t="shared" si="94"/>
        <v>0.10771152044957852</v>
      </c>
      <c r="O42" s="7">
        <f t="shared" ref="O42:R42" si="95">O24/O16</f>
        <v>8.693815031954788E-2</v>
      </c>
      <c r="P42" s="7">
        <f t="shared" si="95"/>
        <v>0.08</v>
      </c>
      <c r="Q42" s="7">
        <f t="shared" si="95"/>
        <v>0.08</v>
      </c>
      <c r="R42" s="7">
        <f t="shared" si="95"/>
        <v>0.11</v>
      </c>
      <c r="V42" s="7">
        <f t="shared" ref="V42:AJ42" si="96">V24/V16</f>
        <v>9.9116121181067066E-2</v>
      </c>
      <c r="W42" s="7">
        <f t="shared" si="96"/>
        <v>0.1165123595505618</v>
      </c>
      <c r="X42" s="7">
        <f t="shared" si="96"/>
        <v>0.10104803752746273</v>
      </c>
      <c r="Y42" s="7">
        <f t="shared" si="96"/>
        <v>8.5767038180078442E-2</v>
      </c>
      <c r="Z42" s="7">
        <f t="shared" si="96"/>
        <v>8.9371990598870577E-2</v>
      </c>
      <c r="AA42" s="7">
        <f t="shared" si="96"/>
        <v>0.08</v>
      </c>
      <c r="AB42" s="7">
        <f t="shared" si="96"/>
        <v>0.08</v>
      </c>
      <c r="AC42" s="7">
        <f t="shared" si="96"/>
        <v>0.08</v>
      </c>
      <c r="AD42" s="7">
        <f t="shared" si="96"/>
        <v>0.08</v>
      </c>
      <c r="AE42" s="7">
        <f t="shared" si="96"/>
        <v>0.08</v>
      </c>
      <c r="AF42" s="7">
        <f t="shared" si="96"/>
        <v>0.08</v>
      </c>
      <c r="AG42" s="7">
        <f t="shared" si="96"/>
        <v>0.08</v>
      </c>
      <c r="AH42" s="7">
        <f t="shared" si="96"/>
        <v>0.08</v>
      </c>
      <c r="AI42" s="7">
        <f t="shared" si="96"/>
        <v>0.08</v>
      </c>
      <c r="AJ42" s="7">
        <f t="shared" si="96"/>
        <v>0.08</v>
      </c>
      <c r="AM42" s="1" t="s">
        <v>57</v>
      </c>
      <c r="AN42" s="3">
        <f>Main!D8</f>
        <v>-287</v>
      </c>
    </row>
    <row r="43" spans="2:40" x14ac:dyDescent="0.3">
      <c r="B43" s="1" t="s">
        <v>52</v>
      </c>
      <c r="C43" s="7">
        <f t="shared" ref="C43:K43" si="97">C25/C16</f>
        <v>0.22495023224950234</v>
      </c>
      <c r="D43" s="7">
        <f t="shared" si="97"/>
        <v>0.18382246638716207</v>
      </c>
      <c r="E43" s="7">
        <f t="shared" si="97"/>
        <v>0.171335005574136</v>
      </c>
      <c r="F43" s="7">
        <f t="shared" si="97"/>
        <v>0.12162777091594618</v>
      </c>
      <c r="G43" s="7">
        <f t="shared" si="97"/>
        <v>0.13790250731831488</v>
      </c>
      <c r="H43" s="7">
        <f t="shared" si="97"/>
        <v>0.16347763692896436</v>
      </c>
      <c r="I43" s="7">
        <f t="shared" si="97"/>
        <v>0.18045287851446534</v>
      </c>
      <c r="J43" s="7">
        <f t="shared" si="97"/>
        <v>0.14154504986758326</v>
      </c>
      <c r="K43" s="7">
        <f t="shared" si="97"/>
        <v>0.17661593755264784</v>
      </c>
      <c r="L43" s="7">
        <f>L25/L16</f>
        <v>0.20601184975811274</v>
      </c>
      <c r="M43" s="7">
        <f t="shared" ref="M43:N43" si="98">M25/M16</f>
        <v>0.17061611374407584</v>
      </c>
      <c r="N43" s="7">
        <f t="shared" si="98"/>
        <v>0.14340722239567072</v>
      </c>
      <c r="O43" s="7">
        <f t="shared" ref="O43:R43" si="99">O25/O16</f>
        <v>0.17588337822848993</v>
      </c>
      <c r="P43" s="7">
        <f t="shared" si="99"/>
        <v>0.19179341248181694</v>
      </c>
      <c r="Q43" s="7">
        <f t="shared" si="99"/>
        <v>0.18545992299508895</v>
      </c>
      <c r="R43" s="7">
        <f t="shared" si="99"/>
        <v>0.1446621554906895</v>
      </c>
      <c r="V43" s="7">
        <f t="shared" ref="V43:AJ43" si="100">V25/V16</f>
        <v>0.26846217895343621</v>
      </c>
      <c r="W43" s="7">
        <f t="shared" si="100"/>
        <v>0.17231460674157303</v>
      </c>
      <c r="X43" s="7">
        <f t="shared" si="100"/>
        <v>0.15606258535716405</v>
      </c>
      <c r="Y43" s="7">
        <f t="shared" si="100"/>
        <v>0.17378471988248137</v>
      </c>
      <c r="Z43" s="7">
        <f t="shared" si="100"/>
        <v>0.17426523592788018</v>
      </c>
      <c r="AA43" s="7">
        <f t="shared" si="100"/>
        <v>0.18688694885786039</v>
      </c>
      <c r="AB43" s="7">
        <f t="shared" si="100"/>
        <v>0.18831958124773465</v>
      </c>
      <c r="AC43" s="7">
        <f t="shared" si="100"/>
        <v>0.18918504723267354</v>
      </c>
      <c r="AD43" s="7">
        <f t="shared" si="100"/>
        <v>0.18960383116562732</v>
      </c>
      <c r="AE43" s="7">
        <f t="shared" si="100"/>
        <v>0.18988930495721318</v>
      </c>
      <c r="AF43" s="7">
        <f t="shared" si="100"/>
        <v>0.19003424427466581</v>
      </c>
      <c r="AG43" s="7">
        <f t="shared" si="100"/>
        <v>0.19018019331968872</v>
      </c>
      <c r="AH43" s="7">
        <f t="shared" si="100"/>
        <v>0.19032715552301208</v>
      </c>
      <c r="AI43" s="7">
        <f t="shared" si="100"/>
        <v>0.19047513426413587</v>
      </c>
      <c r="AJ43" s="7">
        <f t="shared" si="100"/>
        <v>0.19062413287011915</v>
      </c>
      <c r="AM43" s="1" t="s">
        <v>58</v>
      </c>
      <c r="AN43" s="3">
        <f>AN41+AN42</f>
        <v>206535.43022615445</v>
      </c>
    </row>
    <row r="44" spans="2:40" x14ac:dyDescent="0.3">
      <c r="B44" s="1" t="s">
        <v>33</v>
      </c>
      <c r="C44" s="7">
        <f t="shared" ref="C44:K44" si="101">C26/C25</f>
        <v>0.22603244837758113</v>
      </c>
      <c r="D44" s="7">
        <f t="shared" si="101"/>
        <v>0.22768383798662997</v>
      </c>
      <c r="E44" s="7">
        <f t="shared" si="101"/>
        <v>0.23586823912159413</v>
      </c>
      <c r="F44" s="7">
        <f t="shared" si="101"/>
        <v>0.15980758952431853</v>
      </c>
      <c r="G44" s="7">
        <f t="shared" si="101"/>
        <v>0.16197508075680664</v>
      </c>
      <c r="H44" s="7">
        <f t="shared" si="101"/>
        <v>0.20482809070958302</v>
      </c>
      <c r="I44" s="7">
        <f t="shared" si="101"/>
        <v>0.20935483870967742</v>
      </c>
      <c r="J44" s="7">
        <f t="shared" si="101"/>
        <v>0.2304936305732484</v>
      </c>
      <c r="K44" s="7">
        <f t="shared" si="101"/>
        <v>0.22511923688394275</v>
      </c>
      <c r="L44" s="7">
        <f>L26/L25</f>
        <v>0.20448548812664907</v>
      </c>
      <c r="M44" s="7">
        <f t="shared" ref="M44:N44" si="102">M26/M25</f>
        <v>0.21754057428214732</v>
      </c>
      <c r="N44" s="7">
        <f t="shared" si="102"/>
        <v>0.21262699564586357</v>
      </c>
      <c r="O44" s="7">
        <f t="shared" ref="O44:R44" si="103">O26/O25</f>
        <v>0.22402402402402402</v>
      </c>
      <c r="P44" s="7">
        <f t="shared" si="103"/>
        <v>0.21</v>
      </c>
      <c r="Q44" s="7">
        <f t="shared" si="103"/>
        <v>0.21</v>
      </c>
      <c r="R44" s="7">
        <f t="shared" si="103"/>
        <v>0.21</v>
      </c>
      <c r="V44" s="7">
        <f t="shared" ref="V44:AJ44" si="104">V26/V25</f>
        <v>0.24358821424311106</v>
      </c>
      <c r="W44" s="7">
        <f t="shared" si="104"/>
        <v>0.21606677099634847</v>
      </c>
      <c r="X44" s="7">
        <f t="shared" si="104"/>
        <v>0.20346237991058688</v>
      </c>
      <c r="Y44" s="7">
        <f t="shared" si="104"/>
        <v>0.21450174486234974</v>
      </c>
      <c r="Z44" s="7">
        <f t="shared" si="104"/>
        <v>0.2134124402005477</v>
      </c>
      <c r="AA44" s="7">
        <f t="shared" si="104"/>
        <v>0.2</v>
      </c>
      <c r="AB44" s="7">
        <f t="shared" si="104"/>
        <v>0.2</v>
      </c>
      <c r="AC44" s="7">
        <f t="shared" si="104"/>
        <v>0.2</v>
      </c>
      <c r="AD44" s="7">
        <f t="shared" si="104"/>
        <v>0.2</v>
      </c>
      <c r="AE44" s="7">
        <f t="shared" si="104"/>
        <v>0.2</v>
      </c>
      <c r="AF44" s="7">
        <f t="shared" si="104"/>
        <v>0.2</v>
      </c>
      <c r="AG44" s="7">
        <f t="shared" si="104"/>
        <v>0.2</v>
      </c>
      <c r="AH44" s="7">
        <f t="shared" si="104"/>
        <v>0.2</v>
      </c>
      <c r="AI44" s="7">
        <f t="shared" si="104"/>
        <v>0.2</v>
      </c>
      <c r="AJ44" s="7">
        <f t="shared" si="104"/>
        <v>0.2</v>
      </c>
      <c r="AM44" s="1" t="s">
        <v>59</v>
      </c>
      <c r="AN44" s="8">
        <f>AN43/AJ28</f>
        <v>294.79793066821929</v>
      </c>
    </row>
    <row r="45" spans="2:40" x14ac:dyDescent="0.3">
      <c r="B45" s="1" t="s">
        <v>53</v>
      </c>
      <c r="C45" s="7">
        <f t="shared" ref="C45:K45" si="105">C27/C16</f>
        <v>0.17410418049104182</v>
      </c>
      <c r="D45" s="7">
        <f t="shared" si="105"/>
        <v>0.14196906173196472</v>
      </c>
      <c r="E45" s="7">
        <f t="shared" si="105"/>
        <v>0.13092251950947603</v>
      </c>
      <c r="F45" s="7">
        <f t="shared" si="105"/>
        <v>0.1021907300266528</v>
      </c>
      <c r="G45" s="7">
        <f t="shared" si="105"/>
        <v>0.11556573755886471</v>
      </c>
      <c r="H45" s="7">
        <f t="shared" si="105"/>
        <v>0.12999282468309017</v>
      </c>
      <c r="I45" s="7">
        <f t="shared" si="105"/>
        <v>0.14267419523837244</v>
      </c>
      <c r="J45" s="7">
        <f t="shared" si="105"/>
        <v>0.10891981743393249</v>
      </c>
      <c r="K45" s="7">
        <f t="shared" si="105"/>
        <v>0.13685629246925365</v>
      </c>
      <c r="L45" s="7">
        <f>L27/L16</f>
        <v>0.16388541610045115</v>
      </c>
      <c r="M45" s="7">
        <f t="shared" ref="M45:N45" si="106">M27/M16</f>
        <v>0.13350018637840141</v>
      </c>
      <c r="N45" s="7">
        <f t="shared" si="106"/>
        <v>0.11291497554376105</v>
      </c>
      <c r="O45" s="7">
        <f t="shared" ref="O45:R45" si="107">O27/O16</f>
        <v>0.1364812760788042</v>
      </c>
      <c r="P45" s="7">
        <f t="shared" si="107"/>
        <v>0.15151679586063538</v>
      </c>
      <c r="Q45" s="7">
        <f t="shared" si="107"/>
        <v>0.14651333916612028</v>
      </c>
      <c r="R45" s="7">
        <f t="shared" si="107"/>
        <v>0.1142831028376447</v>
      </c>
      <c r="V45" s="7">
        <f t="shared" ref="V45:AJ45" si="108">V27/V16</f>
        <v>0.2030679561903542</v>
      </c>
      <c r="W45" s="7">
        <f t="shared" si="108"/>
        <v>0.13508314606741573</v>
      </c>
      <c r="X45" s="7">
        <f t="shared" si="108"/>
        <v>0.12430972032539635</v>
      </c>
      <c r="Y45" s="7">
        <f t="shared" si="108"/>
        <v>0.13650759423727443</v>
      </c>
      <c r="Z45" s="7">
        <f t="shared" si="108"/>
        <v>0.1370748666863871</v>
      </c>
      <c r="AA45" s="7">
        <f t="shared" si="108"/>
        <v>0.14950955908628832</v>
      </c>
      <c r="AB45" s="7">
        <f t="shared" si="108"/>
        <v>0.15065566499818772</v>
      </c>
      <c r="AC45" s="7">
        <f t="shared" si="108"/>
        <v>0.15134803778613884</v>
      </c>
      <c r="AD45" s="7">
        <f t="shared" si="108"/>
        <v>0.15168306493250183</v>
      </c>
      <c r="AE45" s="7">
        <f t="shared" si="108"/>
        <v>0.15191144396577055</v>
      </c>
      <c r="AF45" s="7">
        <f t="shared" si="108"/>
        <v>0.15202739541973262</v>
      </c>
      <c r="AG45" s="7">
        <f t="shared" si="108"/>
        <v>0.15214415465575096</v>
      </c>
      <c r="AH45" s="7">
        <f t="shared" si="108"/>
        <v>0.15226172441840968</v>
      </c>
      <c r="AI45" s="7">
        <f t="shared" si="108"/>
        <v>0.1523801074113087</v>
      </c>
      <c r="AJ45" s="7">
        <f t="shared" si="108"/>
        <v>0.15249930629609529</v>
      </c>
      <c r="AM45" s="1" t="s">
        <v>60</v>
      </c>
      <c r="AN45" s="8">
        <f>Main!D3</f>
        <v>245.15</v>
      </c>
    </row>
    <row r="46" spans="2:40" x14ac:dyDescent="0.3">
      <c r="AM46" s="4" t="s">
        <v>61</v>
      </c>
      <c r="AN46" s="9">
        <f>AN44/AN45-1</f>
        <v>0.20252062275431082</v>
      </c>
    </row>
    <row r="47" spans="2:40" x14ac:dyDescent="0.3">
      <c r="AM47" s="1" t="s">
        <v>62</v>
      </c>
      <c r="AN47" s="2" t="s">
        <v>76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Mniszek</dc:creator>
  <cp:lastModifiedBy>Anton Mniszek</cp:lastModifiedBy>
  <dcterms:created xsi:type="dcterms:W3CDTF">2024-08-02T07:48:58Z</dcterms:created>
  <dcterms:modified xsi:type="dcterms:W3CDTF">2025-05-05T07:56:46Z</dcterms:modified>
</cp:coreProperties>
</file>