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os\Desktop\Financial Analysis\"/>
    </mc:Choice>
  </mc:AlternateContent>
  <xr:revisionPtr revIDLastSave="0" documentId="13_ncr:1_{84F21EAE-76D8-40A5-9DB0-1E3619380ECD}" xr6:coauthVersionLast="47" xr6:coauthVersionMax="47" xr10:uidLastSave="{00000000-0000-0000-0000-000000000000}"/>
  <bookViews>
    <workbookView xWindow="-108" yWindow="-108" windowWidth="23256" windowHeight="12576" activeTab="1" xr2:uid="{DAAEC582-3359-4770-A2A8-463EF00396F8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P36" i="2" l="1"/>
  <c r="AO36" i="2"/>
  <c r="AN36" i="2"/>
  <c r="AM36" i="2"/>
  <c r="AP35" i="2"/>
  <c r="AO35" i="2"/>
  <c r="AN35" i="2"/>
  <c r="AM35" i="2"/>
  <c r="AP34" i="2"/>
  <c r="AO34" i="2"/>
  <c r="AN34" i="2"/>
  <c r="AM34" i="2"/>
  <c r="AP33" i="2"/>
  <c r="AO33" i="2"/>
  <c r="AN33" i="2"/>
  <c r="AP32" i="2"/>
  <c r="AO32" i="2"/>
  <c r="AN32" i="2"/>
  <c r="AP31" i="2"/>
  <c r="AO31" i="2"/>
  <c r="AN31" i="2"/>
  <c r="AM31" i="2"/>
  <c r="AP30" i="2"/>
  <c r="AO30" i="2"/>
  <c r="AN30" i="2"/>
  <c r="AM30" i="2"/>
  <c r="AP29" i="2"/>
  <c r="AO29" i="2"/>
  <c r="AN29" i="2"/>
  <c r="AM29" i="2"/>
  <c r="AP28" i="2"/>
  <c r="AO28" i="2"/>
  <c r="AN28" i="2"/>
  <c r="AP27" i="2"/>
  <c r="AO27" i="2"/>
  <c r="AN27" i="2"/>
  <c r="AP26" i="2"/>
  <c r="AO26" i="2"/>
  <c r="AN26" i="2"/>
  <c r="AM7" i="2"/>
  <c r="AM18" i="2"/>
  <c r="AM14" i="2"/>
  <c r="AM8" i="2"/>
  <c r="AM5" i="2"/>
  <c r="AN10" i="2"/>
  <c r="AN14" i="2" s="1"/>
  <c r="AN7" i="2"/>
  <c r="AN8" i="2" s="1"/>
  <c r="AN18" i="2"/>
  <c r="AN5" i="2"/>
  <c r="W5" i="2"/>
  <c r="W8" i="2"/>
  <c r="W9" i="2"/>
  <c r="W14" i="2"/>
  <c r="W15" i="2"/>
  <c r="W18" i="2"/>
  <c r="W19" i="2"/>
  <c r="W22" i="2" s="1"/>
  <c r="W24" i="2" s="1"/>
  <c r="W21" i="2"/>
  <c r="W28" i="2"/>
  <c r="AO7" i="2"/>
  <c r="AO8" i="2" s="1"/>
  <c r="AP7" i="2"/>
  <c r="AO18" i="2"/>
  <c r="AO14" i="2"/>
  <c r="AO5" i="2"/>
  <c r="AS36" i="2"/>
  <c r="AR36" i="2"/>
  <c r="AQ36" i="2"/>
  <c r="AS35" i="2"/>
  <c r="AR35" i="2"/>
  <c r="AQ35" i="2"/>
  <c r="AS34" i="2"/>
  <c r="AR34" i="2"/>
  <c r="AQ34" i="2"/>
  <c r="AS33" i="2"/>
  <c r="AR33" i="2"/>
  <c r="AQ33" i="2"/>
  <c r="AS32" i="2"/>
  <c r="AR32" i="2"/>
  <c r="AQ32" i="2"/>
  <c r="AS31" i="2"/>
  <c r="AR31" i="2"/>
  <c r="AQ31" i="2"/>
  <c r="AS30" i="2"/>
  <c r="AR30" i="2"/>
  <c r="AQ30" i="2"/>
  <c r="AS29" i="2"/>
  <c r="AR29" i="2"/>
  <c r="AQ29" i="2"/>
  <c r="AS28" i="2"/>
  <c r="AR28" i="2"/>
  <c r="AQ28" i="2"/>
  <c r="AS27" i="2"/>
  <c r="AR27" i="2"/>
  <c r="AQ27" i="2"/>
  <c r="AS26" i="2"/>
  <c r="AR26" i="2"/>
  <c r="AQ26" i="2"/>
  <c r="AP18" i="2"/>
  <c r="AP14" i="2"/>
  <c r="AP8" i="2"/>
  <c r="AP5" i="2"/>
  <c r="AQ7" i="2"/>
  <c r="AQ18" i="2"/>
  <c r="AQ14" i="2"/>
  <c r="AQ8" i="2"/>
  <c r="AQ5" i="2"/>
  <c r="AR7" i="2"/>
  <c r="AR8" i="2" s="1"/>
  <c r="AR18" i="2"/>
  <c r="AR14" i="2"/>
  <c r="AR5" i="2"/>
  <c r="S36" i="2"/>
  <c r="S35" i="2"/>
  <c r="S34" i="2"/>
  <c r="S31" i="2"/>
  <c r="S30" i="2"/>
  <c r="S29" i="2"/>
  <c r="W33" i="2"/>
  <c r="W32" i="2"/>
  <c r="W27" i="2"/>
  <c r="W26" i="2"/>
  <c r="W30" i="2"/>
  <c r="W29" i="2"/>
  <c r="AT36" i="2"/>
  <c r="AT35" i="2"/>
  <c r="AT34" i="2"/>
  <c r="AT33" i="2"/>
  <c r="AT32" i="2"/>
  <c r="AT31" i="2"/>
  <c r="AT30" i="2"/>
  <c r="AT29" i="2"/>
  <c r="AT28" i="2"/>
  <c r="AT27" i="2"/>
  <c r="AT26" i="2"/>
  <c r="AU36" i="2"/>
  <c r="AU35" i="2"/>
  <c r="AU34" i="2"/>
  <c r="AU33" i="2"/>
  <c r="AU32" i="2"/>
  <c r="AU31" i="2"/>
  <c r="AU30" i="2"/>
  <c r="AU29" i="2"/>
  <c r="AU28" i="2"/>
  <c r="AU27" i="2"/>
  <c r="AU26" i="2"/>
  <c r="AS18" i="2"/>
  <c r="AS14" i="2"/>
  <c r="AS8" i="2"/>
  <c r="AS5" i="2"/>
  <c r="AT18" i="2"/>
  <c r="AT14" i="2"/>
  <c r="AT8" i="2"/>
  <c r="AT5" i="2"/>
  <c r="AU21" i="2"/>
  <c r="AU18" i="2"/>
  <c r="AU14" i="2"/>
  <c r="AU8" i="2"/>
  <c r="AU5" i="2"/>
  <c r="S18" i="2"/>
  <c r="S14" i="2"/>
  <c r="S8" i="2"/>
  <c r="S5" i="2"/>
  <c r="D9" i="1"/>
  <c r="D8" i="1"/>
  <c r="D7" i="1"/>
  <c r="D6" i="1"/>
  <c r="D5" i="1"/>
  <c r="F3" i="1"/>
  <c r="AM9" i="2" l="1"/>
  <c r="AM15" i="2" s="1"/>
  <c r="AM19" i="2" s="1"/>
  <c r="AM22" i="2" s="1"/>
  <c r="AM24" i="2" s="1"/>
  <c r="AN9" i="2"/>
  <c r="AN15" i="2" s="1"/>
  <c r="AN19" i="2" s="1"/>
  <c r="AN22" i="2" s="1"/>
  <c r="AN24" i="2" s="1"/>
  <c r="W31" i="2"/>
  <c r="AO9" i="2"/>
  <c r="AO15" i="2" s="1"/>
  <c r="AO19" i="2" s="1"/>
  <c r="AO22" i="2" s="1"/>
  <c r="AO24" i="2" s="1"/>
  <c r="AP9" i="2"/>
  <c r="AQ9" i="2"/>
  <c r="AQ15" i="2" s="1"/>
  <c r="AQ19" i="2" s="1"/>
  <c r="AQ22" i="2" s="1"/>
  <c r="AQ24" i="2" s="1"/>
  <c r="AR9" i="2"/>
  <c r="AR15" i="2" s="1"/>
  <c r="AR19" i="2" s="1"/>
  <c r="AR22" i="2" s="1"/>
  <c r="AR24" i="2" s="1"/>
  <c r="AS9" i="2"/>
  <c r="AS15" i="2" s="1"/>
  <c r="AS19" i="2" s="1"/>
  <c r="AS22" i="2" s="1"/>
  <c r="AS24" i="2" s="1"/>
  <c r="AT9" i="2"/>
  <c r="AT15" i="2" s="1"/>
  <c r="AT19" i="2" s="1"/>
  <c r="AT22" i="2" s="1"/>
  <c r="AT24" i="2" s="1"/>
  <c r="AU9" i="2"/>
  <c r="AU15" i="2" s="1"/>
  <c r="AU19" i="2" s="1"/>
  <c r="AU22" i="2" s="1"/>
  <c r="AU24" i="2" s="1"/>
  <c r="S9" i="2"/>
  <c r="S15" i="2" s="1"/>
  <c r="S19" i="2" s="1"/>
  <c r="S22" i="2" s="1"/>
  <c r="S24" i="2" s="1"/>
  <c r="W34" i="2" l="1"/>
  <c r="AP15" i="2"/>
  <c r="W35" i="2" l="1"/>
  <c r="AP19" i="2"/>
  <c r="W36" i="2" l="1"/>
  <c r="AP22" i="2"/>
  <c r="AP24" i="2" l="1"/>
</calcChain>
</file>

<file path=xl/sharedStrings.xml><?xml version="1.0" encoding="utf-8"?>
<sst xmlns="http://schemas.openxmlformats.org/spreadsheetml/2006/main" count="71" uniqueCount="67">
  <si>
    <t>BA</t>
  </si>
  <si>
    <t>Price</t>
  </si>
  <si>
    <t>Shares</t>
  </si>
  <si>
    <t>MC</t>
  </si>
  <si>
    <t>Cash</t>
  </si>
  <si>
    <t>Debt</t>
  </si>
  <si>
    <t>Net Cash</t>
  </si>
  <si>
    <t>EV</t>
  </si>
  <si>
    <t>Last checked</t>
  </si>
  <si>
    <t>Today</t>
  </si>
  <si>
    <t>Earnings</t>
  </si>
  <si>
    <t>Q125 8K</t>
  </si>
  <si>
    <t>Q125</t>
  </si>
  <si>
    <t>Total revenue</t>
  </si>
  <si>
    <t>Total cost of sales</t>
  </si>
  <si>
    <t>Gross profit</t>
  </si>
  <si>
    <t>Product revenue</t>
  </si>
  <si>
    <t>Service revenue</t>
  </si>
  <si>
    <t>Product cost</t>
  </si>
  <si>
    <t>Service cost</t>
  </si>
  <si>
    <t>Investment income</t>
  </si>
  <si>
    <t>G&amp;A</t>
  </si>
  <si>
    <t>R&amp;D</t>
  </si>
  <si>
    <t>Loss on disposal</t>
  </si>
  <si>
    <t>Total operating expense</t>
  </si>
  <si>
    <t>Operating profit</t>
  </si>
  <si>
    <t>Other income</t>
  </si>
  <si>
    <t>Interest expense</t>
  </si>
  <si>
    <t>Total other expense</t>
  </si>
  <si>
    <t>Pretax profit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</si>
  <si>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</si>
  <si>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</si>
  <si>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</si>
  <si>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</si>
  <si>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</si>
  <si>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</si>
  <si>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</si>
  <si>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</si>
  <si>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</si>
  <si>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</si>
  <si>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Q322</t>
  </si>
  <si>
    <t>Q422</t>
  </si>
  <si>
    <t>Q123</t>
  </si>
  <si>
    <t>Q223</t>
  </si>
  <si>
    <t>Q323</t>
  </si>
  <si>
    <t>Q423</t>
  </si>
  <si>
    <t>Q124</t>
  </si>
  <si>
    <t>Q224</t>
  </si>
  <si>
    <t>Q324</t>
  </si>
  <si>
    <t>Q424</t>
  </si>
  <si>
    <t>Q225</t>
  </si>
  <si>
    <t>Q325</t>
  </si>
  <si>
    <t>Q425</t>
  </si>
  <si>
    <t>Taxes</t>
  </si>
  <si>
    <t>MI</t>
  </si>
  <si>
    <t>Net profit</t>
  </si>
  <si>
    <t>EPS</t>
  </si>
  <si>
    <t>Revenue y/y</t>
  </si>
  <si>
    <t>Gross Margin</t>
  </si>
  <si>
    <t>Product Margin</t>
  </si>
  <si>
    <t>Service Margin</t>
  </si>
  <si>
    <t>G&amp;A y/y</t>
  </si>
  <si>
    <t>R&amp;D y/y</t>
  </si>
  <si>
    <t>Operating Margin</t>
  </si>
  <si>
    <t>Net Margin</t>
  </si>
  <si>
    <t>Product revenue y/y</t>
  </si>
  <si>
    <t>Service revenue y/y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</si>
</sst>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theme="1" tint="0.249977111117893"/>
      </left>
      <right style="thin">
        <color theme="1" tint="0.249977111117893"/>
      </right>
      <top style="thin">
        <color theme="1" tint="0.249977111117893"/>
      </top>
      <bottom style="thin">
        <color theme="1" tint="0.249977111117893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2" borderId="1" xfId="0" applyFont="1" applyFill="1" applyBorder="1"/>
    <xf numFmtId="0" fontId="2" fillId="2" borderId="1" xfId="0" applyFont="1" applyFill="1" applyBorder="1" applyAlignment="1">
      <alignment horizontal="right"/>
    </xf>
    <xf numFmtId="0" fontId="1" fillId="2" borderId="1" xfId="0" applyFont="1" applyFill="1" applyBorder="1"/>
    <xf numFmtId="0" fontId="4" fillId="2" borderId="1" xfId="0" applyFont="1" applyFill="1" applyBorder="1" applyAlignment="1">
      <alignment horizontal="right"/>
    </xf>
    <xf numFmtId="164" fontId="2" fillId="2" borderId="1" xfId="0" applyNumberFormat="1" applyFont="1" applyFill="1" applyBorder="1"/>
    <xf numFmtId="14" fontId="4" fillId="2" borderId="1" xfId="0" applyNumberFormat="1" applyFont="1" applyFill="1" applyBorder="1" applyAlignment="1">
      <alignment horizontal="right"/>
    </xf>
    <xf numFmtId="3" fontId="2" fillId="2" borderId="1" xfId="0" applyNumberFormat="1" applyFont="1" applyFill="1" applyBorder="1"/>
    <xf numFmtId="4" fontId="2" fillId="2" borderId="1" xfId="0" applyNumberFormat="1" applyFont="1" applyFill="1" applyBorder="1"/>
    <xf numFmtId="3" fontId="1" fillId="2" borderId="1" xfId="0" applyNumberFormat="1" applyFont="1" applyFill="1" applyBorder="1"/>
    <xf numFmtId="9" fontId="2" fillId="2" borderId="1" xfId="0" applyNumberFormat="1" applyFont="1" applyFill="1" applyBorder="1"/>
    <xf numFmtId="9" fontId="1" fillId="2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47</xdr:col>
      <xdr:colOff>15240</xdr:colOff>
      <xdr:row>0</xdr:row>
      <xdr:rowOff>0</xdr:rowOff>
    </xdr:from>
    <xdr:to>
      <xdr:col>47</xdr:col>
      <xdr:colOff>15240</xdr:colOff>
      <xdr:row>47</xdr:row>
      <xdr:rowOff>30480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9136FC7F-8D27-0758-2380-84E01070B435}"/>
            </a:ext>
          </a:extLst>
        </xdr:cNvPr>
        <xdr:cNvCxnSpPr/>
      </xdr:nvCxnSpPr>
      <xdr:spPr>
        <a:xfrm>
          <a:off x="29481780" y="0"/>
          <a:ext cx="0" cy="862584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E0FD7-0245-493C-BCD0-51BDC7DB2A87}">
  <dimension ref="B2:G9"/>
  <sheetViews>
    <sheetView workbookViewId="0">
      <selection activeCell="D4" sqref="D4"/>
    </sheetView>
  </sheetViews>
  <sheetFormatPr defaultRowHeight="14.4" x14ac:dyDescent="0.3"/>
  <cols>
    <col min="1" max="4" width="8.88671875" style="1"/>
    <col min="5" max="7" width="14.33203125" style="4" customWidth="1"/>
    <col min="8" max="16384" width="8.88671875" style="1"/>
  </cols>
  <sheetData>
    <row r="2" spans="2:7" x14ac:dyDescent="0.3">
      <c r="E2" s="4" t="s">
        <v>8</v>
      </c>
      <c r="F2" s="4" t="s">
        <v>9</v>
      </c>
      <c r="G2" s="4" t="s">
        <v>10</v>
      </c>
    </row>
    <row r="3" spans="2:7" x14ac:dyDescent="0.3">
      <c r="B3" s="3" t="s">
        <v>0</v>
      </c>
      <c r="C3" s="1" t="s">
        <v>1</v>
      </c>
      <c r="D3" s="5">
        <v>174.98</v>
      </c>
      <c r="E3" s="6">
        <v>45770</v>
      </c>
      <c r="F3" s="6">
        <f ca="1">TODAY()</f>
        <v>45780</v>
      </c>
      <c r="G3" s="6">
        <v>45861</v>
      </c>
    </row>
    <row r="4" spans="2:7" x14ac:dyDescent="0.3">
      <c r="C4" s="1" t="s">
        <v>2</v>
      </c>
      <c r="D4" s="7">
        <v>753.4</v>
      </c>
      <c r="E4" s="4" t="s">
        <v>11</v>
      </c>
    </row>
    <row r="5" spans="2:7" x14ac:dyDescent="0.3">
      <c r="C5" s="1" t="s">
        <v>3</v>
      </c>
      <c r="D5" s="7">
        <f>D3*D4</f>
        <v>131829.932</v>
      </c>
    </row>
    <row r="6" spans="2:7" x14ac:dyDescent="0.3">
      <c r="C6" s="1" t="s">
        <v>4</v>
      </c>
      <c r="D6" s="7">
        <f>10142+13532</f>
        <v>23674</v>
      </c>
      <c r="E6" s="4" t="s">
        <v>12</v>
      </c>
    </row>
    <row r="7" spans="2:7" x14ac:dyDescent="0.3">
      <c r="C7" s="1" t="s">
        <v>5</v>
      </c>
      <c r="D7" s="7">
        <f>7930+45688</f>
        <v>53618</v>
      </c>
      <c r="E7" s="4" t="s">
        <v>12</v>
      </c>
    </row>
    <row r="8" spans="2:7" x14ac:dyDescent="0.3">
      <c r="C8" s="1" t="s">
        <v>6</v>
      </c>
      <c r="D8" s="7">
        <f>D6-D7</f>
        <v>-29944</v>
      </c>
    </row>
    <row r="9" spans="2:7" x14ac:dyDescent="0.3">
      <c r="C9" s="1" t="s">
        <v>7</v>
      </c>
      <c r="D9" s="7">
        <f>D5-D8</f>
        <v>161773.932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1C0CE-CFF7-43D4-81ED-60434895C928}">
  <dimension ref="B2:BF36"/>
  <sheetViews>
    <sheetView tabSelected="1" workbookViewId="0">
      <pane xSplit="2" ySplit="2" topLeftCell="AD3" activePane="bottomRight" state="frozen"/>
      <selection pane="topRight" activeCell="C1" sqref="C1"/>
      <selection pane="bottomLeft" activeCell="A3" sqref="A3"/>
      <selection pane="bottomRight" activeCell="AV37" sqref="AV37"/>
    </sheetView>
  </sheetViews>
  <sheetFormatPr defaultRowHeight="14.4" x14ac:dyDescent="0.3"/>
  <cols>
    <col min="1" max="1" width="8.88671875" style="1"/>
    <col min="2" max="2" width="20.77734375" style="1" bestFit="1" customWidth="1"/>
    <col min="3" max="16384" width="8.88671875" style="1"/>
  </cols>
  <sheetData>
    <row r="2" spans="2:58" x14ac:dyDescent="0.3">
      <c r="C2" s="2" t="s">
        <v>30</v>
      </c>
      <c r="D2" s="2" t="s">
        <v>31</v>
      </c>
      <c r="E2" s="2" t="s">
        <v>32</v>
      </c>
      <c r="F2" s="2" t="s">
        <v>33</v>
      </c>
      <c r="G2" s="2" t="s">
        <v>34</v>
      </c>
      <c r="H2" s="2" t="s">
        <v>35</v>
      </c>
      <c r="I2" s="2" t="s">
        <v>36</v>
      </c>
      <c r="J2" s="2" t="s">
        <v>37</v>
      </c>
      <c r="K2" s="2" t="s">
        <v>38</v>
      </c>
      <c r="L2" s="2" t="s">
        <v>39</v>
      </c>
      <c r="M2" s="2" t="s">
        <v>40</v>
      </c>
      <c r="N2" s="2" t="s">
        <v>41</v>
      </c>
      <c r="O2" s="2" t="s">
        <v>42</v>
      </c>
      <c r="P2" s="2" t="s">
        <v>43</v>
      </c>
      <c r="Q2" s="2" t="s">
        <v>44</v>
      </c>
      <c r="R2" s="2" t="s">
        <v>45</v>
      </c>
      <c r="S2" s="2" t="s">
        <v>46</v>
      </c>
      <c r="T2" s="2" t="s">
        <v>47</v>
      </c>
      <c r="U2" s="2" t="s">
        <v>48</v>
      </c>
      <c r="V2" s="2" t="s">
        <v>49</v>
      </c>
      <c r="W2" s="2" t="s">
        <v>12</v>
      </c>
      <c r="X2" s="2" t="s">
        <v>50</v>
      </c>
      <c r="Y2" s="2" t="s">
        <v>51</v>
      </c>
      <c r="Z2" s="2" t="s">
        <v>52</v>
      </c>
      <c r="AB2" s="1">
        <v>2005</v>
      </c>
      <c r="AC2" s="1">
        <v>2006</v>
      </c>
      <c r="AD2" s="1">
        <v>2007</v>
      </c>
      <c r="AE2" s="1">
        <v>2008</v>
      </c>
      <c r="AF2" s="1">
        <v>2009</v>
      </c>
      <c r="AG2" s="1">
        <v>2010</v>
      </c>
      <c r="AH2" s="1">
        <v>2011</v>
      </c>
      <c r="AI2" s="1">
        <v>2012</v>
      </c>
      <c r="AJ2" s="1">
        <v>2013</v>
      </c>
      <c r="AK2" s="1">
        <v>2014</v>
      </c>
      <c r="AL2" s="1">
        <v>2015</v>
      </c>
      <c r="AM2" s="1">
        <v>2016</v>
      </c>
      <c r="AN2" s="1">
        <v>2017</v>
      </c>
      <c r="AO2" s="1">
        <v>2018</v>
      </c>
      <c r="AP2" s="1">
        <v>2019</v>
      </c>
      <c r="AQ2" s="1">
        <v>2020</v>
      </c>
      <c r="AR2" s="1">
        <v>2021</v>
      </c>
      <c r="AS2" s="1">
        <v>2022</v>
      </c>
      <c r="AT2" s="1">
        <v>2023</v>
      </c>
      <c r="AU2" s="1">
        <v>2024</v>
      </c>
      <c r="AV2" s="1">
        <v>2025</v>
      </c>
      <c r="AW2" s="1">
        <v>2026</v>
      </c>
      <c r="AX2" s="1">
        <v>2027</v>
      </c>
      <c r="AY2" s="1">
        <v>2028</v>
      </c>
      <c r="AZ2" s="1">
        <v>2029</v>
      </c>
      <c r="BA2" s="1">
        <v>2030</v>
      </c>
      <c r="BB2" s="1">
        <v>2031</v>
      </c>
      <c r="BC2" s="1">
        <v>2032</v>
      </c>
      <c r="BD2" s="1">
        <v>2033</v>
      </c>
      <c r="BE2" s="1">
        <v>2034</v>
      </c>
      <c r="BF2" s="1">
        <v>2035</v>
      </c>
    </row>
    <row r="3" spans="2:58" x14ac:dyDescent="0.3">
      <c r="B3" s="1" t="s">
        <v>16</v>
      </c>
      <c r="S3" s="7">
        <v>13268</v>
      </c>
      <c r="W3" s="7">
        <v>16147</v>
      </c>
      <c r="AM3" s="7">
        <v>83198</v>
      </c>
      <c r="AN3" s="7">
        <v>83740</v>
      </c>
      <c r="AO3" s="7">
        <v>90229</v>
      </c>
      <c r="AP3" s="7">
        <v>66094</v>
      </c>
      <c r="AQ3" s="7">
        <v>47142</v>
      </c>
      <c r="AR3" s="7">
        <v>51386</v>
      </c>
      <c r="AS3" s="7">
        <v>55893</v>
      </c>
      <c r="AT3" s="7">
        <v>65581</v>
      </c>
      <c r="AU3" s="7">
        <v>53227</v>
      </c>
    </row>
    <row r="4" spans="2:58" x14ac:dyDescent="0.3">
      <c r="B4" s="1" t="s">
        <v>17</v>
      </c>
      <c r="S4" s="7">
        <v>3301</v>
      </c>
      <c r="W4" s="7">
        <v>3349</v>
      </c>
      <c r="AM4" s="7">
        <v>10298</v>
      </c>
      <c r="AN4" s="7">
        <v>10265</v>
      </c>
      <c r="AO4" s="7">
        <v>10898</v>
      </c>
      <c r="AP4" s="7">
        <v>10465</v>
      </c>
      <c r="AQ4" s="7">
        <v>11016</v>
      </c>
      <c r="AR4" s="7">
        <v>10900</v>
      </c>
      <c r="AS4" s="7">
        <v>10715</v>
      </c>
      <c r="AT4" s="7">
        <v>12213</v>
      </c>
      <c r="AU4" s="7">
        <v>13290</v>
      </c>
    </row>
    <row r="5" spans="2:58" s="3" customFormat="1" x14ac:dyDescent="0.3">
      <c r="B5" s="3" t="s">
        <v>13</v>
      </c>
      <c r="S5" s="9">
        <f>S3+S4</f>
        <v>16569</v>
      </c>
      <c r="W5" s="9">
        <f>W3+W4</f>
        <v>19496</v>
      </c>
      <c r="AM5" s="9">
        <f t="shared" ref="AM5:AU5" si="0">AM3+AM4</f>
        <v>93496</v>
      </c>
      <c r="AN5" s="9">
        <f t="shared" si="0"/>
        <v>94005</v>
      </c>
      <c r="AO5" s="9">
        <f t="shared" si="0"/>
        <v>101127</v>
      </c>
      <c r="AP5" s="9">
        <f t="shared" si="0"/>
        <v>76559</v>
      </c>
      <c r="AQ5" s="9">
        <f t="shared" si="0"/>
        <v>58158</v>
      </c>
      <c r="AR5" s="9">
        <f t="shared" si="0"/>
        <v>62286</v>
      </c>
      <c r="AS5" s="9">
        <f t="shared" si="0"/>
        <v>66608</v>
      </c>
      <c r="AT5" s="9">
        <f t="shared" si="0"/>
        <v>77794</v>
      </c>
      <c r="AU5" s="9">
        <f t="shared" si="0"/>
        <v>66517</v>
      </c>
    </row>
    <row r="6" spans="2:58" x14ac:dyDescent="0.3">
      <c r="B6" s="1" t="s">
        <v>18</v>
      </c>
      <c r="S6" s="7">
        <v>12064</v>
      </c>
      <c r="W6" s="7">
        <v>14379</v>
      </c>
      <c r="AM6" s="7">
        <v>71013</v>
      </c>
      <c r="AN6" s="7">
        <v>68879</v>
      </c>
      <c r="AO6" s="7">
        <v>72922</v>
      </c>
      <c r="AP6" s="7">
        <v>62877</v>
      </c>
      <c r="AQ6" s="7">
        <v>54568</v>
      </c>
      <c r="AR6" s="7">
        <v>49954</v>
      </c>
      <c r="AS6" s="7">
        <v>53969</v>
      </c>
      <c r="AT6" s="7">
        <v>59864</v>
      </c>
      <c r="AU6" s="7">
        <v>57394</v>
      </c>
    </row>
    <row r="7" spans="2:58" x14ac:dyDescent="0.3">
      <c r="B7" s="1" t="s">
        <v>19</v>
      </c>
      <c r="S7" s="7">
        <v>2629</v>
      </c>
      <c r="W7" s="7">
        <v>2700</v>
      </c>
      <c r="AM7" s="7">
        <f>7954+59</f>
        <v>8013</v>
      </c>
      <c r="AN7" s="7">
        <f>7663+70</f>
        <v>7733</v>
      </c>
      <c r="AO7" s="7">
        <f>8499+69</f>
        <v>8568</v>
      </c>
      <c r="AP7" s="7">
        <f>9154+62</f>
        <v>9216</v>
      </c>
      <c r="AQ7" s="7">
        <f>9232+43</f>
        <v>9275</v>
      </c>
      <c r="AR7" s="7">
        <f>9283+32</f>
        <v>9315</v>
      </c>
      <c r="AS7" s="7">
        <v>9109</v>
      </c>
      <c r="AT7" s="7">
        <v>10206</v>
      </c>
      <c r="AU7" s="7">
        <v>11114</v>
      </c>
    </row>
    <row r="8" spans="2:58" x14ac:dyDescent="0.3">
      <c r="B8" s="1" t="s">
        <v>14</v>
      </c>
      <c r="S8" s="7">
        <f>S6+S7</f>
        <v>14693</v>
      </c>
      <c r="W8" s="7">
        <f>W6+W7</f>
        <v>17079</v>
      </c>
      <c r="AM8" s="7">
        <f t="shared" ref="AM8:AU8" si="1">AM6+AM7</f>
        <v>79026</v>
      </c>
      <c r="AN8" s="7">
        <f t="shared" si="1"/>
        <v>76612</v>
      </c>
      <c r="AO8" s="7">
        <f t="shared" si="1"/>
        <v>81490</v>
      </c>
      <c r="AP8" s="7">
        <f t="shared" si="1"/>
        <v>72093</v>
      </c>
      <c r="AQ8" s="7">
        <f t="shared" si="1"/>
        <v>63843</v>
      </c>
      <c r="AR8" s="7">
        <f t="shared" si="1"/>
        <v>59269</v>
      </c>
      <c r="AS8" s="7">
        <f t="shared" si="1"/>
        <v>63078</v>
      </c>
      <c r="AT8" s="7">
        <f t="shared" si="1"/>
        <v>70070</v>
      </c>
      <c r="AU8" s="7">
        <f t="shared" si="1"/>
        <v>68508</v>
      </c>
    </row>
    <row r="9" spans="2:58" s="3" customFormat="1" x14ac:dyDescent="0.3">
      <c r="B9" s="3" t="s">
        <v>15</v>
      </c>
      <c r="S9" s="9">
        <f>S5-S8</f>
        <v>1876</v>
      </c>
      <c r="W9" s="9">
        <f>W5-W8</f>
        <v>2417</v>
      </c>
      <c r="AM9" s="9">
        <f t="shared" ref="AM9:AU9" si="2">AM5-AM8</f>
        <v>14470</v>
      </c>
      <c r="AN9" s="9">
        <f t="shared" si="2"/>
        <v>17393</v>
      </c>
      <c r="AO9" s="9">
        <f t="shared" si="2"/>
        <v>19637</v>
      </c>
      <c r="AP9" s="9">
        <f t="shared" si="2"/>
        <v>4466</v>
      </c>
      <c r="AQ9" s="9">
        <f t="shared" si="2"/>
        <v>-5685</v>
      </c>
      <c r="AR9" s="9">
        <f t="shared" si="2"/>
        <v>3017</v>
      </c>
      <c r="AS9" s="9">
        <f t="shared" si="2"/>
        <v>3530</v>
      </c>
      <c r="AT9" s="9">
        <f t="shared" si="2"/>
        <v>7724</v>
      </c>
      <c r="AU9" s="9">
        <f t="shared" si="2"/>
        <v>-1991</v>
      </c>
    </row>
    <row r="10" spans="2:58" x14ac:dyDescent="0.3">
      <c r="B10" s="1" t="s">
        <v>20</v>
      </c>
      <c r="S10" s="7">
        <v>-67</v>
      </c>
      <c r="W10" s="7">
        <v>-3</v>
      </c>
      <c r="AM10" s="7">
        <v>-303</v>
      </c>
      <c r="AN10" s="7">
        <f>-204</f>
        <v>-204</v>
      </c>
      <c r="AO10" s="7">
        <v>-111</v>
      </c>
      <c r="AP10" s="7">
        <v>4</v>
      </c>
      <c r="AQ10" s="7">
        <v>-9</v>
      </c>
      <c r="AR10" s="7">
        <v>-210</v>
      </c>
      <c r="AS10" s="7">
        <v>16</v>
      </c>
      <c r="AT10" s="7">
        <v>-46</v>
      </c>
      <c r="AU10" s="7">
        <v>-71</v>
      </c>
    </row>
    <row r="11" spans="2:58" x14ac:dyDescent="0.3">
      <c r="B11" s="1" t="s">
        <v>21</v>
      </c>
      <c r="S11" s="7">
        <v>1161</v>
      </c>
      <c r="W11" s="7">
        <v>1112</v>
      </c>
      <c r="AM11" s="7">
        <v>3613</v>
      </c>
      <c r="AN11" s="7">
        <v>4095</v>
      </c>
      <c r="AO11" s="7">
        <v>4567</v>
      </c>
      <c r="AP11" s="7">
        <v>3909</v>
      </c>
      <c r="AQ11" s="7">
        <v>4817</v>
      </c>
      <c r="AR11" s="7">
        <v>4157</v>
      </c>
      <c r="AS11" s="7">
        <v>4187</v>
      </c>
      <c r="AT11" s="7">
        <v>5168</v>
      </c>
      <c r="AU11" s="7">
        <v>5021</v>
      </c>
    </row>
    <row r="12" spans="2:58" x14ac:dyDescent="0.3">
      <c r="B12" s="1" t="s">
        <v>22</v>
      </c>
      <c r="S12" s="7">
        <v>868</v>
      </c>
      <c r="W12" s="7">
        <v>844</v>
      </c>
      <c r="AM12" s="7">
        <v>4626</v>
      </c>
      <c r="AN12" s="7">
        <v>3179</v>
      </c>
      <c r="AO12" s="7">
        <v>3269</v>
      </c>
      <c r="AP12" s="7">
        <v>3219</v>
      </c>
      <c r="AQ12" s="7">
        <v>2476</v>
      </c>
      <c r="AR12" s="7">
        <v>2249</v>
      </c>
      <c r="AS12" s="7">
        <v>2852</v>
      </c>
      <c r="AT12" s="7">
        <v>3377</v>
      </c>
      <c r="AU12" s="7">
        <v>3812</v>
      </c>
    </row>
    <row r="13" spans="2:58" x14ac:dyDescent="0.3">
      <c r="B13" s="1" t="s">
        <v>23</v>
      </c>
      <c r="S13" s="7">
        <v>0</v>
      </c>
      <c r="W13" s="7">
        <v>3</v>
      </c>
      <c r="AM13" s="7">
        <v>7</v>
      </c>
      <c r="AN13" s="7">
        <v>-21</v>
      </c>
      <c r="AO13" s="7">
        <v>-75</v>
      </c>
      <c r="AP13" s="7">
        <v>-691</v>
      </c>
      <c r="AQ13" s="7">
        <v>-202</v>
      </c>
      <c r="AR13" s="7">
        <v>-277</v>
      </c>
      <c r="AS13" s="7">
        <v>-6</v>
      </c>
      <c r="AT13" s="7">
        <v>-2</v>
      </c>
      <c r="AU13" s="7">
        <v>-46</v>
      </c>
    </row>
    <row r="14" spans="2:58" x14ac:dyDescent="0.3">
      <c r="B14" s="1" t="s">
        <v>24</v>
      </c>
      <c r="S14" s="7">
        <f>SUM(S10:S13)</f>
        <v>1962</v>
      </c>
      <c r="W14" s="7">
        <f>SUM(W10:W13)</f>
        <v>1956</v>
      </c>
      <c r="AM14" s="7">
        <f t="shared" ref="AM14:AU14" si="3">SUM(AM10:AM13)</f>
        <v>7943</v>
      </c>
      <c r="AN14" s="7">
        <f t="shared" si="3"/>
        <v>7049</v>
      </c>
      <c r="AO14" s="7">
        <f t="shared" si="3"/>
        <v>7650</v>
      </c>
      <c r="AP14" s="7">
        <f t="shared" si="3"/>
        <v>6441</v>
      </c>
      <c r="AQ14" s="7">
        <f t="shared" si="3"/>
        <v>7082</v>
      </c>
      <c r="AR14" s="7">
        <f t="shared" si="3"/>
        <v>5919</v>
      </c>
      <c r="AS14" s="7">
        <f t="shared" si="3"/>
        <v>7049</v>
      </c>
      <c r="AT14" s="7">
        <f t="shared" si="3"/>
        <v>8497</v>
      </c>
      <c r="AU14" s="7">
        <f t="shared" si="3"/>
        <v>8716</v>
      </c>
    </row>
    <row r="15" spans="2:58" s="3" customFormat="1" x14ac:dyDescent="0.3">
      <c r="B15" s="3" t="s">
        <v>25</v>
      </c>
      <c r="S15" s="9">
        <f>S9-S14</f>
        <v>-86</v>
      </c>
      <c r="W15" s="9">
        <f>W9-W14</f>
        <v>461</v>
      </c>
      <c r="AM15" s="9">
        <f t="shared" ref="AM15:AU15" si="4">AM9-AM14</f>
        <v>6527</v>
      </c>
      <c r="AN15" s="9">
        <f t="shared" si="4"/>
        <v>10344</v>
      </c>
      <c r="AO15" s="9">
        <f t="shared" si="4"/>
        <v>11987</v>
      </c>
      <c r="AP15" s="9">
        <f t="shared" si="4"/>
        <v>-1975</v>
      </c>
      <c r="AQ15" s="9">
        <f t="shared" si="4"/>
        <v>-12767</v>
      </c>
      <c r="AR15" s="9">
        <f t="shared" si="4"/>
        <v>-2902</v>
      </c>
      <c r="AS15" s="9">
        <f t="shared" si="4"/>
        <v>-3519</v>
      </c>
      <c r="AT15" s="9">
        <f t="shared" si="4"/>
        <v>-773</v>
      </c>
      <c r="AU15" s="9">
        <f t="shared" si="4"/>
        <v>-10707</v>
      </c>
    </row>
    <row r="16" spans="2:58" x14ac:dyDescent="0.3">
      <c r="B16" s="1" t="s">
        <v>26</v>
      </c>
      <c r="S16" s="7">
        <v>-277</v>
      </c>
      <c r="W16" s="7">
        <v>-323</v>
      </c>
      <c r="AM16" s="7">
        <v>438</v>
      </c>
      <c r="AN16" s="7">
        <v>-123</v>
      </c>
      <c r="AO16" s="7">
        <v>-92</v>
      </c>
      <c r="AP16" s="7">
        <v>-438</v>
      </c>
      <c r="AQ16" s="7">
        <v>-447</v>
      </c>
      <c r="AR16" s="7">
        <v>-551</v>
      </c>
      <c r="AS16" s="7">
        <v>-1058</v>
      </c>
      <c r="AT16" s="7">
        <v>-1227</v>
      </c>
      <c r="AU16" s="7">
        <v>-1222</v>
      </c>
    </row>
    <row r="17" spans="2:47" x14ac:dyDescent="0.3">
      <c r="B17" s="1" t="s">
        <v>27</v>
      </c>
      <c r="S17" s="7">
        <v>569</v>
      </c>
      <c r="W17" s="7">
        <v>708</v>
      </c>
      <c r="AM17" s="7">
        <v>306</v>
      </c>
      <c r="AN17" s="7">
        <v>360</v>
      </c>
      <c r="AO17" s="7">
        <v>475</v>
      </c>
      <c r="AP17" s="7">
        <v>722</v>
      </c>
      <c r="AQ17" s="7">
        <v>2156</v>
      </c>
      <c r="AR17" s="7">
        <v>2682</v>
      </c>
      <c r="AS17" s="7">
        <v>2561</v>
      </c>
      <c r="AT17" s="7">
        <v>2459</v>
      </c>
      <c r="AU17" s="7">
        <v>2725</v>
      </c>
    </row>
    <row r="18" spans="2:47" x14ac:dyDescent="0.3">
      <c r="B18" s="1" t="s">
        <v>28</v>
      </c>
      <c r="S18" s="7">
        <f>SUM(S16:S17)</f>
        <v>292</v>
      </c>
      <c r="W18" s="7">
        <f>SUM(W16:W17)</f>
        <v>385</v>
      </c>
      <c r="AM18" s="7">
        <f t="shared" ref="AM18:AU18" si="5">SUM(AM16:AM17)</f>
        <v>744</v>
      </c>
      <c r="AN18" s="7">
        <f t="shared" si="5"/>
        <v>237</v>
      </c>
      <c r="AO18" s="7">
        <f t="shared" si="5"/>
        <v>383</v>
      </c>
      <c r="AP18" s="7">
        <f t="shared" si="5"/>
        <v>284</v>
      </c>
      <c r="AQ18" s="7">
        <f t="shared" si="5"/>
        <v>1709</v>
      </c>
      <c r="AR18" s="7">
        <f t="shared" si="5"/>
        <v>2131</v>
      </c>
      <c r="AS18" s="7">
        <f t="shared" si="5"/>
        <v>1503</v>
      </c>
      <c r="AT18" s="7">
        <f t="shared" si="5"/>
        <v>1232</v>
      </c>
      <c r="AU18" s="7">
        <f t="shared" si="5"/>
        <v>1503</v>
      </c>
    </row>
    <row r="19" spans="2:47" s="3" customFormat="1" x14ac:dyDescent="0.3">
      <c r="B19" s="3" t="s">
        <v>29</v>
      </c>
      <c r="S19" s="9">
        <f>S15-S18</f>
        <v>-378</v>
      </c>
      <c r="W19" s="9">
        <f>W15-W18</f>
        <v>76</v>
      </c>
      <c r="AM19" s="9">
        <f t="shared" ref="AM19:AU19" si="6">AM15-AM18</f>
        <v>5783</v>
      </c>
      <c r="AN19" s="9">
        <f t="shared" si="6"/>
        <v>10107</v>
      </c>
      <c r="AO19" s="9">
        <f t="shared" si="6"/>
        <v>11604</v>
      </c>
      <c r="AP19" s="9">
        <f t="shared" si="6"/>
        <v>-2259</v>
      </c>
      <c r="AQ19" s="9">
        <f t="shared" si="6"/>
        <v>-14476</v>
      </c>
      <c r="AR19" s="9">
        <f t="shared" si="6"/>
        <v>-5033</v>
      </c>
      <c r="AS19" s="9">
        <f t="shared" si="6"/>
        <v>-5022</v>
      </c>
      <c r="AT19" s="9">
        <f t="shared" si="6"/>
        <v>-2005</v>
      </c>
      <c r="AU19" s="9">
        <f t="shared" si="6"/>
        <v>-12210</v>
      </c>
    </row>
    <row r="20" spans="2:47" x14ac:dyDescent="0.3">
      <c r="B20" s="1" t="s">
        <v>53</v>
      </c>
      <c r="S20" s="7">
        <v>23</v>
      </c>
      <c r="W20" s="7">
        <v>107</v>
      </c>
      <c r="AM20" s="7">
        <v>749</v>
      </c>
      <c r="AN20" s="7">
        <v>1649</v>
      </c>
      <c r="AO20" s="7">
        <v>1144</v>
      </c>
      <c r="AP20" s="7">
        <v>-1623</v>
      </c>
      <c r="AQ20" s="7">
        <v>-2535</v>
      </c>
      <c r="AR20" s="7">
        <v>-743</v>
      </c>
      <c r="AS20" s="7">
        <v>31</v>
      </c>
      <c r="AT20" s="7">
        <v>237</v>
      </c>
      <c r="AU20" s="7">
        <v>-381</v>
      </c>
    </row>
    <row r="21" spans="2:47" x14ac:dyDescent="0.3">
      <c r="B21" s="1" t="s">
        <v>54</v>
      </c>
      <c r="S21" s="7">
        <v>-12</v>
      </c>
      <c r="W21" s="7">
        <f>6+86</f>
        <v>92</v>
      </c>
      <c r="AM21" s="7">
        <v>0</v>
      </c>
      <c r="AN21" s="7">
        <v>0</v>
      </c>
      <c r="AO21" s="7">
        <v>0</v>
      </c>
      <c r="AP21" s="7">
        <v>0</v>
      </c>
      <c r="AQ21" s="7">
        <v>-68</v>
      </c>
      <c r="AR21" s="7">
        <v>-88</v>
      </c>
      <c r="AS21" s="7">
        <v>-118</v>
      </c>
      <c r="AT21" s="7">
        <v>-20</v>
      </c>
      <c r="AU21" s="7">
        <f>-12+58</f>
        <v>46</v>
      </c>
    </row>
    <row r="22" spans="2:47" s="3" customFormat="1" x14ac:dyDescent="0.3">
      <c r="B22" s="3" t="s">
        <v>55</v>
      </c>
      <c r="S22" s="9">
        <f>S19-S20-S21</f>
        <v>-389</v>
      </c>
      <c r="W22" s="9">
        <f>W19-W20-W21</f>
        <v>-123</v>
      </c>
      <c r="AM22" s="9">
        <f t="shared" ref="AM22:AU22" si="7">AM19-AM20-AM21</f>
        <v>5034</v>
      </c>
      <c r="AN22" s="9">
        <f t="shared" si="7"/>
        <v>8458</v>
      </c>
      <c r="AO22" s="9">
        <f t="shared" si="7"/>
        <v>10460</v>
      </c>
      <c r="AP22" s="9">
        <f t="shared" si="7"/>
        <v>-636</v>
      </c>
      <c r="AQ22" s="9">
        <f t="shared" si="7"/>
        <v>-11873</v>
      </c>
      <c r="AR22" s="9">
        <f t="shared" si="7"/>
        <v>-4202</v>
      </c>
      <c r="AS22" s="9">
        <f t="shared" si="7"/>
        <v>-4935</v>
      </c>
      <c r="AT22" s="9">
        <f t="shared" si="7"/>
        <v>-2222</v>
      </c>
      <c r="AU22" s="9">
        <f t="shared" si="7"/>
        <v>-11875</v>
      </c>
    </row>
    <row r="23" spans="2:47" x14ac:dyDescent="0.3">
      <c r="B23" s="1" t="s">
        <v>2</v>
      </c>
      <c r="S23" s="7">
        <v>753.4</v>
      </c>
      <c r="W23" s="7">
        <v>753.4</v>
      </c>
      <c r="AM23" s="7">
        <v>753.4</v>
      </c>
      <c r="AN23" s="7">
        <v>753.4</v>
      </c>
      <c r="AO23" s="7">
        <v>753.4</v>
      </c>
      <c r="AP23" s="7">
        <v>753.4</v>
      </c>
      <c r="AQ23" s="7">
        <v>753.4</v>
      </c>
      <c r="AR23" s="7">
        <v>753.4</v>
      </c>
      <c r="AS23" s="7">
        <v>753.4</v>
      </c>
      <c r="AT23" s="7">
        <v>753.4</v>
      </c>
      <c r="AU23" s="7">
        <v>753.4</v>
      </c>
    </row>
    <row r="24" spans="2:47" x14ac:dyDescent="0.3">
      <c r="B24" s="1" t="s">
        <v>56</v>
      </c>
      <c r="S24" s="8">
        <f>S22/S23</f>
        <v>-0.51632598885054426</v>
      </c>
      <c r="W24" s="8">
        <f>W22/W23</f>
        <v>-0.16325988850544201</v>
      </c>
      <c r="AM24" s="8">
        <f t="shared" ref="AM24:AU24" si="8">AM22/AM23</f>
        <v>6.681709583222724</v>
      </c>
      <c r="AN24" s="8">
        <f t="shared" si="8"/>
        <v>11.226440138040882</v>
      </c>
      <c r="AO24" s="8">
        <f t="shared" si="8"/>
        <v>13.883727103796124</v>
      </c>
      <c r="AP24" s="8">
        <f t="shared" si="8"/>
        <v>-0.84417308202813912</v>
      </c>
      <c r="AQ24" s="8">
        <f t="shared" si="8"/>
        <v>-15.759224847358642</v>
      </c>
      <c r="AR24" s="8">
        <f t="shared" si="8"/>
        <v>-5.5773825325192465</v>
      </c>
      <c r="AS24" s="8">
        <f t="shared" si="8"/>
        <v>-6.5503052827183437</v>
      </c>
      <c r="AT24" s="8">
        <f t="shared" si="8"/>
        <v>-2.9492965224316432</v>
      </c>
      <c r="AU24" s="8">
        <f t="shared" si="8"/>
        <v>-15.761879479692062</v>
      </c>
    </row>
    <row r="26" spans="2:47" x14ac:dyDescent="0.3">
      <c r="B26" s="1" t="s">
        <v>65</v>
      </c>
      <c r="S26" s="10"/>
      <c r="W26" s="10">
        <f>W3/S3-1</f>
        <v>0.21698824238769965</v>
      </c>
      <c r="AM26" s="10"/>
      <c r="AN26" s="10">
        <f t="shared" ref="AN26:AP26" si="9">AN3/AM3-1</f>
        <v>6.514579677395993E-3</v>
      </c>
      <c r="AO26" s="10">
        <f t="shared" si="9"/>
        <v>7.7489849534272848E-2</v>
      </c>
      <c r="AP26" s="10">
        <f t="shared" si="9"/>
        <v>-0.26748606323909163</v>
      </c>
      <c r="AQ26" s="10">
        <f t="shared" ref="AQ26:AS26" si="10">AQ3/AP3-1</f>
        <v>-0.28674312343026598</v>
      </c>
      <c r="AR26" s="10">
        <f t="shared" si="10"/>
        <v>9.0025879258410768E-2</v>
      </c>
      <c r="AS26" s="10">
        <f t="shared" si="10"/>
        <v>8.7708714435838608E-2</v>
      </c>
      <c r="AT26" s="10">
        <f t="shared" ref="AT26" si="11">AT3/AS3-1</f>
        <v>0.17333118637396461</v>
      </c>
      <c r="AU26" s="10">
        <f>AU3/AT3-1</f>
        <v>-0.18837773135511815</v>
      </c>
    </row>
    <row r="27" spans="2:47" x14ac:dyDescent="0.3">
      <c r="B27" s="1" t="s">
        <v>66</v>
      </c>
      <c r="S27" s="10"/>
      <c r="W27" s="10">
        <f t="shared" ref="W27:W28" si="12">W4/S4-1</f>
        <v>1.4541048167222126E-2</v>
      </c>
      <c r="AM27" s="10"/>
      <c r="AN27" s="10">
        <f t="shared" ref="AN27:AP27" si="13">AN4/AM4-1</f>
        <v>-3.2045057292677814E-3</v>
      </c>
      <c r="AO27" s="10">
        <f t="shared" si="13"/>
        <v>6.1665854846566059E-2</v>
      </c>
      <c r="AP27" s="10">
        <f t="shared" si="13"/>
        <v>-3.9732060928610702E-2</v>
      </c>
      <c r="AQ27" s="10">
        <f t="shared" ref="AQ27:AS27" si="14">AQ4/AP4-1</f>
        <v>5.2651696129957015E-2</v>
      </c>
      <c r="AR27" s="10">
        <f t="shared" si="14"/>
        <v>-1.0530137981118348E-2</v>
      </c>
      <c r="AS27" s="10">
        <f t="shared" si="14"/>
        <v>-1.6972477064220226E-2</v>
      </c>
      <c r="AT27" s="10">
        <f t="shared" ref="AT27:AU28" si="15">AT4/AS4-1</f>
        <v>0.1398040130657956</v>
      </c>
      <c r="AU27" s="10">
        <f t="shared" si="15"/>
        <v>8.8184721198722782E-2</v>
      </c>
    </row>
    <row r="28" spans="2:47" s="3" customFormat="1" x14ac:dyDescent="0.3">
      <c r="B28" s="3" t="s">
        <v>57</v>
      </c>
      <c r="S28" s="11"/>
      <c r="W28" s="11">
        <f t="shared" si="12"/>
        <v>0.17665519946888764</v>
      </c>
      <c r="AM28" s="11"/>
      <c r="AN28" s="11">
        <f t="shared" ref="AN28:AP28" si="16">AN5/AM5-1</f>
        <v>5.4440831693334246E-3</v>
      </c>
      <c r="AO28" s="11">
        <f t="shared" si="16"/>
        <v>7.5761927557044917E-2</v>
      </c>
      <c r="AP28" s="11">
        <f t="shared" si="16"/>
        <v>-0.24294204317343537</v>
      </c>
      <c r="AQ28" s="11">
        <f t="shared" ref="AQ28:AS28" si="17">AQ5/AP5-1</f>
        <v>-0.24035057929178805</v>
      </c>
      <c r="AR28" s="11">
        <f t="shared" si="17"/>
        <v>7.0979057051480554E-2</v>
      </c>
      <c r="AS28" s="11">
        <f t="shared" si="17"/>
        <v>6.9389589956009301E-2</v>
      </c>
      <c r="AT28" s="11">
        <f t="shared" si="15"/>
        <v>0.16793778525102088</v>
      </c>
      <c r="AU28" s="11">
        <f t="shared" si="15"/>
        <v>-0.14495976553461709</v>
      </c>
    </row>
    <row r="29" spans="2:47" x14ac:dyDescent="0.3">
      <c r="B29" s="1" t="s">
        <v>59</v>
      </c>
      <c r="S29" s="10">
        <f>(S3-S6)/S3</f>
        <v>9.0744648779017181E-2</v>
      </c>
      <c r="W29" s="10">
        <f>(W3-W6)/W3</f>
        <v>0.10949402365764538</v>
      </c>
      <c r="AM29" s="10">
        <f t="shared" ref="AM29:AP29" si="18">(AM3-AM6)/AM3</f>
        <v>0.14645784754441213</v>
      </c>
      <c r="AN29" s="10">
        <f t="shared" si="18"/>
        <v>0.17746596608550275</v>
      </c>
      <c r="AO29" s="10">
        <f t="shared" si="18"/>
        <v>0.19181194516175509</v>
      </c>
      <c r="AP29" s="10">
        <f t="shared" si="18"/>
        <v>4.8673101945713677E-2</v>
      </c>
      <c r="AQ29" s="10">
        <f t="shared" ref="AQ29:AS29" si="19">(AQ3-AQ6)/AQ3</f>
        <v>-0.15752407619532477</v>
      </c>
      <c r="AR29" s="10">
        <f t="shared" si="19"/>
        <v>2.7867512552056981E-2</v>
      </c>
      <c r="AS29" s="10">
        <f t="shared" si="19"/>
        <v>3.4422915212996258E-2</v>
      </c>
      <c r="AT29" s="10">
        <f t="shared" ref="AT29" si="20">(AT3-AT6)/AT3</f>
        <v>8.7174638996050685E-2</v>
      </c>
      <c r="AU29" s="10">
        <f>(AU3-AU6)/AU3</f>
        <v>-7.8287335374903719E-2</v>
      </c>
    </row>
    <row r="30" spans="2:47" x14ac:dyDescent="0.3">
      <c r="B30" s="1" t="s">
        <v>60</v>
      </c>
      <c r="S30" s="10">
        <f>(S4-S7)/S4</f>
        <v>0.20357467434110876</v>
      </c>
      <c r="W30" s="10">
        <f>(W4-W7)/W4</f>
        <v>0.19378919080322485</v>
      </c>
      <c r="AM30" s="10">
        <f t="shared" ref="AM30:AP30" si="21">(AM4-AM7)/AM4</f>
        <v>0.22188774519324139</v>
      </c>
      <c r="AN30" s="10">
        <f t="shared" si="21"/>
        <v>0.24666341938626402</v>
      </c>
      <c r="AO30" s="10">
        <f t="shared" si="21"/>
        <v>0.21380069737566526</v>
      </c>
      <c r="AP30" s="10">
        <f t="shared" si="21"/>
        <v>0.11935021500238892</v>
      </c>
      <c r="AQ30" s="10">
        <f t="shared" ref="AQ30:AS30" si="22">(AQ4-AQ7)/AQ4</f>
        <v>0.15804284676833696</v>
      </c>
      <c r="AR30" s="10">
        <f t="shared" si="22"/>
        <v>0.14541284403669724</v>
      </c>
      <c r="AS30" s="10">
        <f t="shared" si="22"/>
        <v>0.14988334111059262</v>
      </c>
      <c r="AT30" s="10">
        <f t="shared" ref="AT30" si="23">(AT4-AT7)/AT4</f>
        <v>0.1643330876934414</v>
      </c>
      <c r="AU30" s="10">
        <f>(AU4-AU7)/AU4</f>
        <v>0.16373212942061702</v>
      </c>
    </row>
    <row r="31" spans="2:47" x14ac:dyDescent="0.3">
      <c r="B31" s="1" t="s">
        <v>58</v>
      </c>
      <c r="S31" s="10">
        <f>S9/S5</f>
        <v>0.11322348964934516</v>
      </c>
      <c r="W31" s="10">
        <f>W9/W5</f>
        <v>0.12397414854329093</v>
      </c>
      <c r="AM31" s="10">
        <f t="shared" ref="AM31:AP31" si="24">AM9/AM5</f>
        <v>0.1547659792932318</v>
      </c>
      <c r="AN31" s="10">
        <f t="shared" si="24"/>
        <v>0.18502207329397372</v>
      </c>
      <c r="AO31" s="10">
        <f t="shared" si="24"/>
        <v>0.19418157366479774</v>
      </c>
      <c r="AP31" s="10">
        <f t="shared" si="24"/>
        <v>5.833409527292676E-2</v>
      </c>
      <c r="AQ31" s="10">
        <f t="shared" ref="AQ31:AS31" si="25">AQ9/AQ5</f>
        <v>-9.7750954296915299E-2</v>
      </c>
      <c r="AR31" s="10">
        <f t="shared" si="25"/>
        <v>4.8437851202517417E-2</v>
      </c>
      <c r="AS31" s="10">
        <f t="shared" si="25"/>
        <v>5.2996637040595727E-2</v>
      </c>
      <c r="AT31" s="10">
        <f t="shared" ref="AT31" si="26">AT9/AT5</f>
        <v>9.9287862817183839E-2</v>
      </c>
      <c r="AU31" s="10">
        <f>AU9/AU5</f>
        <v>-2.9932197784025137E-2</v>
      </c>
    </row>
    <row r="32" spans="2:47" x14ac:dyDescent="0.3">
      <c r="B32" s="1" t="s">
        <v>61</v>
      </c>
      <c r="S32" s="10"/>
      <c r="W32" s="10">
        <f>W11/S11-1</f>
        <v>-4.2204995693367775E-2</v>
      </c>
      <c r="AM32" s="10"/>
      <c r="AN32" s="10">
        <f t="shared" ref="AN32:AP32" si="27">AN11/AM11-1</f>
        <v>0.13340714088015493</v>
      </c>
      <c r="AO32" s="10">
        <f t="shared" si="27"/>
        <v>0.1152625152625153</v>
      </c>
      <c r="AP32" s="10">
        <f t="shared" si="27"/>
        <v>-0.14407707466608277</v>
      </c>
      <c r="AQ32" s="10">
        <f t="shared" ref="AQ32:AS32" si="28">AQ11/AP11-1</f>
        <v>0.23228447173190081</v>
      </c>
      <c r="AR32" s="10">
        <f t="shared" si="28"/>
        <v>-0.13701473946439691</v>
      </c>
      <c r="AS32" s="10">
        <f t="shared" si="28"/>
        <v>7.216742843396684E-3</v>
      </c>
      <c r="AT32" s="10">
        <f t="shared" ref="AT32" si="29">AT11/AS11-1</f>
        <v>0.23429663243372345</v>
      </c>
      <c r="AU32" s="10">
        <f>AU11/AT11-1</f>
        <v>-2.8444272445820484E-2</v>
      </c>
    </row>
    <row r="33" spans="2:47" x14ac:dyDescent="0.3">
      <c r="B33" s="1" t="s">
        <v>62</v>
      </c>
      <c r="S33" s="10"/>
      <c r="W33" s="10">
        <f>W12/S12-1</f>
        <v>-2.7649769585253448E-2</v>
      </c>
      <c r="AM33" s="10"/>
      <c r="AN33" s="10">
        <f t="shared" ref="AN33:AP33" si="30">AN12/AM12-1</f>
        <v>-0.31279723303069606</v>
      </c>
      <c r="AO33" s="10">
        <f t="shared" si="30"/>
        <v>2.8310789556464266E-2</v>
      </c>
      <c r="AP33" s="10">
        <f t="shared" si="30"/>
        <v>-1.5295197308045294E-2</v>
      </c>
      <c r="AQ33" s="10">
        <f t="shared" ref="AQ33:AS33" si="31">AQ12/AP12-1</f>
        <v>-0.23081702392047221</v>
      </c>
      <c r="AR33" s="10">
        <f t="shared" si="31"/>
        <v>-9.1680129240710784E-2</v>
      </c>
      <c r="AS33" s="10">
        <f t="shared" si="31"/>
        <v>0.26811916407292125</v>
      </c>
      <c r="AT33" s="10">
        <f t="shared" ref="AT33" si="32">AT12/AS12-1</f>
        <v>0.18408134642356244</v>
      </c>
      <c r="AU33" s="10">
        <f>AU12/AT12-1</f>
        <v>0.12881255552265314</v>
      </c>
    </row>
    <row r="34" spans="2:47" x14ac:dyDescent="0.3">
      <c r="B34" s="1" t="s">
        <v>63</v>
      </c>
      <c r="S34" s="10">
        <f>S15/S5</f>
        <v>-5.1904158368036692E-3</v>
      </c>
      <c r="W34" s="10">
        <f>W15/W5</f>
        <v>2.364587607714403E-2</v>
      </c>
      <c r="AM34" s="10">
        <f t="shared" ref="AM34:AP34" si="33">AM15/AM5</f>
        <v>6.9810473175323004E-2</v>
      </c>
      <c r="AN34" s="10">
        <f t="shared" si="33"/>
        <v>0.11003670017552258</v>
      </c>
      <c r="AO34" s="10">
        <f t="shared" si="33"/>
        <v>0.11853412046238888</v>
      </c>
      <c r="AP34" s="10">
        <f t="shared" si="33"/>
        <v>-2.5797097663240117E-2</v>
      </c>
      <c r="AQ34" s="10">
        <f t="shared" ref="AQ34:AS34" si="34">AQ15/AQ5</f>
        <v>-0.21952267959696001</v>
      </c>
      <c r="AR34" s="10">
        <f t="shared" si="34"/>
        <v>-4.6591529396654147E-2</v>
      </c>
      <c r="AS34" s="10">
        <f t="shared" si="34"/>
        <v>-5.2831491712707179E-2</v>
      </c>
      <c r="AT34" s="10">
        <f t="shared" ref="AT34" si="35">AT15/AT5</f>
        <v>-9.9364989587885956E-3</v>
      </c>
      <c r="AU34" s="10">
        <f>AU15/AU5</f>
        <v>-0.16096636949952645</v>
      </c>
    </row>
    <row r="35" spans="2:47" x14ac:dyDescent="0.3">
      <c r="B35" s="1" t="s">
        <v>53</v>
      </c>
      <c r="S35" s="10">
        <f>S20/S19</f>
        <v>-6.0846560846560843E-2</v>
      </c>
      <c r="W35" s="10">
        <f>W20/W19</f>
        <v>1.4078947368421053</v>
      </c>
      <c r="AM35" s="10">
        <f t="shared" ref="AM35:AP35" si="36">AM20/AM19</f>
        <v>0.12951755144388727</v>
      </c>
      <c r="AN35" s="10">
        <f t="shared" si="36"/>
        <v>0.16315424953002869</v>
      </c>
      <c r="AO35" s="10">
        <f t="shared" si="36"/>
        <v>9.8586694243364359E-2</v>
      </c>
      <c r="AP35" s="10">
        <f t="shared" si="36"/>
        <v>0.71845949535192566</v>
      </c>
      <c r="AQ35" s="10">
        <f t="shared" ref="AQ35:AS35" si="37">AQ20/AQ19</f>
        <v>0.17511743575573363</v>
      </c>
      <c r="AR35" s="10">
        <f t="shared" si="37"/>
        <v>0.14762567057421022</v>
      </c>
      <c r="AS35" s="10">
        <f t="shared" si="37"/>
        <v>-6.1728395061728392E-3</v>
      </c>
      <c r="AT35" s="10">
        <f t="shared" ref="AT35" si="38">AT20/AT19</f>
        <v>-0.11820448877805487</v>
      </c>
      <c r="AU35" s="10">
        <f>AU20/AU19</f>
        <v>3.1203931203931203E-2</v>
      </c>
    </row>
    <row r="36" spans="2:47" x14ac:dyDescent="0.3">
      <c r="B36" s="1" t="s">
        <v>64</v>
      </c>
      <c r="S36" s="10">
        <f>S22/S5</f>
        <v>-2.347757861065846E-2</v>
      </c>
      <c r="W36" s="10">
        <f>W22/W5</f>
        <v>-6.3089864587607715E-3</v>
      </c>
      <c r="AM36" s="10">
        <f t="shared" ref="AM36:AP36" si="39">AM22/AM5</f>
        <v>5.3841875588260459E-2</v>
      </c>
      <c r="AN36" s="10">
        <f t="shared" si="39"/>
        <v>8.9973937556512951E-2</v>
      </c>
      <c r="AO36" s="10">
        <f t="shared" si="39"/>
        <v>0.10343429548982962</v>
      </c>
      <c r="AP36" s="10">
        <f t="shared" si="39"/>
        <v>-8.3073185386434E-3</v>
      </c>
      <c r="AQ36" s="10">
        <f t="shared" ref="AQ36:AS36" si="40">AQ22/AQ5</f>
        <v>-0.20415076171807833</v>
      </c>
      <c r="AR36" s="10">
        <f t="shared" si="40"/>
        <v>-6.7462993289021611E-2</v>
      </c>
      <c r="AS36" s="10">
        <f t="shared" si="40"/>
        <v>-7.4090199375450402E-2</v>
      </c>
      <c r="AT36" s="10">
        <f t="shared" ref="AT36" si="41">AT22/AT5</f>
        <v>-2.8562614083348332E-2</v>
      </c>
      <c r="AU36" s="10">
        <f>AU22/AU5</f>
        <v>-0.17852579039944677</v>
      </c>
    </row>
  </sheetData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 Mniszek</dc:creator>
  <cp:lastModifiedBy>Anton Mniszek</cp:lastModifiedBy>
  <dcterms:created xsi:type="dcterms:W3CDTF">2025-04-23T14:48:03Z</dcterms:created>
  <dcterms:modified xsi:type="dcterms:W3CDTF">2025-05-03T19:18:02Z</dcterms:modified>
</cp:coreProperties>
</file>