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400851A3-D9F8-4158-B41F-C7C4F0F8B80D}" xr6:coauthVersionLast="47" xr6:coauthVersionMax="47" xr10:uidLastSave="{00000000-0000-0000-0000-000000000000}"/>
  <bookViews>
    <workbookView xWindow="-108" yWindow="-108" windowWidth="23256" windowHeight="12576" activeTab="1" xr2:uid="{9FA048E8-CD64-4FE4-A115-46129781B05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5" i="2" l="1"/>
  <c r="AF5" i="2"/>
  <c r="AE5" i="2"/>
  <c r="AD5" i="2"/>
  <c r="AC5" i="2"/>
  <c r="AB5" i="2"/>
  <c r="AK9" i="2"/>
  <c r="AJ9" i="2"/>
  <c r="AI9" i="2"/>
  <c r="AH9" i="2"/>
  <c r="AG9" i="2"/>
  <c r="AF9" i="2"/>
  <c r="AE9" i="2"/>
  <c r="AD9" i="2"/>
  <c r="AC9" i="2"/>
  <c r="AB9" i="2"/>
  <c r="AF3" i="2"/>
  <c r="AE3" i="2"/>
  <c r="AD3" i="2"/>
  <c r="AC3" i="2"/>
  <c r="AB3" i="2"/>
  <c r="R5" i="2"/>
  <c r="Q5" i="2"/>
  <c r="P5" i="2"/>
  <c r="O5" i="2"/>
  <c r="D7" i="1"/>
  <c r="D6" i="1"/>
  <c r="AO35" i="2"/>
  <c r="AK24" i="2"/>
  <c r="AJ24" i="2"/>
  <c r="AI24" i="2"/>
  <c r="AH24" i="2"/>
  <c r="AG24" i="2"/>
  <c r="AF24" i="2"/>
  <c r="AE24" i="2"/>
  <c r="AD24" i="2"/>
  <c r="AC24" i="2"/>
  <c r="AB24" i="2"/>
  <c r="AE29" i="2" l="1"/>
  <c r="AD29" i="2"/>
  <c r="AC29" i="2"/>
  <c r="AB29" i="2"/>
  <c r="AA18" i="2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A17" i="2"/>
  <c r="AA16" i="2"/>
  <c r="AA15" i="2"/>
  <c r="AA14" i="2"/>
  <c r="AB14" i="2" s="1"/>
  <c r="AA11" i="2"/>
  <c r="AA8" i="2"/>
  <c r="AA7" i="2"/>
  <c r="AA6" i="2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K29" i="2" s="1"/>
  <c r="AA4" i="2"/>
  <c r="AA3" i="2"/>
  <c r="AA27" i="2" s="1"/>
  <c r="AA24" i="2"/>
  <c r="R28" i="2"/>
  <c r="Q4" i="2"/>
  <c r="R31" i="2"/>
  <c r="Q31" i="2"/>
  <c r="P31" i="2"/>
  <c r="O31" i="2"/>
  <c r="R30" i="2"/>
  <c r="Q30" i="2"/>
  <c r="P30" i="2"/>
  <c r="R29" i="2"/>
  <c r="Q29" i="2"/>
  <c r="P29" i="2"/>
  <c r="O29" i="2"/>
  <c r="P28" i="2"/>
  <c r="R27" i="2"/>
  <c r="Q27" i="2"/>
  <c r="P27" i="2"/>
  <c r="O27" i="2"/>
  <c r="R24" i="2"/>
  <c r="Q24" i="2"/>
  <c r="P24" i="2"/>
  <c r="R19" i="2"/>
  <c r="Q19" i="2"/>
  <c r="P19" i="2"/>
  <c r="O24" i="2"/>
  <c r="O19" i="2"/>
  <c r="R14" i="2"/>
  <c r="Q14" i="2"/>
  <c r="P14" i="2"/>
  <c r="R12" i="2"/>
  <c r="Q12" i="2"/>
  <c r="P12" i="2"/>
  <c r="P13" i="2" s="1"/>
  <c r="P32" i="2" s="1"/>
  <c r="R10" i="2"/>
  <c r="Q10" i="2"/>
  <c r="P10" i="2"/>
  <c r="AA10" i="2"/>
  <c r="AA31" i="2" s="1"/>
  <c r="AA9" i="2"/>
  <c r="AA30" i="2" s="1"/>
  <c r="R8" i="2"/>
  <c r="Q8" i="2"/>
  <c r="P8" i="2"/>
  <c r="R6" i="2"/>
  <c r="Q6" i="2"/>
  <c r="P6" i="2"/>
  <c r="R4" i="2"/>
  <c r="P4" i="2"/>
  <c r="R3" i="2"/>
  <c r="Q3" i="2"/>
  <c r="P3" i="2"/>
  <c r="Y35" i="2"/>
  <c r="Y34" i="2"/>
  <c r="Y33" i="2"/>
  <c r="Y32" i="2"/>
  <c r="Y31" i="2"/>
  <c r="Y30" i="2"/>
  <c r="Y28" i="2"/>
  <c r="Z29" i="2"/>
  <c r="Z27" i="2"/>
  <c r="Z35" i="2"/>
  <c r="Z34" i="2"/>
  <c r="Z33" i="2"/>
  <c r="Z32" i="2"/>
  <c r="Z31" i="2"/>
  <c r="Z30" i="2"/>
  <c r="Z28" i="2"/>
  <c r="M35" i="2"/>
  <c r="L35" i="2"/>
  <c r="K35" i="2"/>
  <c r="J35" i="2"/>
  <c r="I35" i="2"/>
  <c r="H35" i="2"/>
  <c r="G35" i="2"/>
  <c r="M34" i="2"/>
  <c r="L34" i="2"/>
  <c r="K34" i="2"/>
  <c r="J34" i="2"/>
  <c r="I34" i="2"/>
  <c r="H34" i="2"/>
  <c r="G34" i="2"/>
  <c r="M33" i="2"/>
  <c r="L33" i="2"/>
  <c r="K33" i="2"/>
  <c r="J33" i="2"/>
  <c r="I33" i="2"/>
  <c r="H33" i="2"/>
  <c r="G33" i="2"/>
  <c r="M32" i="2"/>
  <c r="L32" i="2"/>
  <c r="K32" i="2"/>
  <c r="J32" i="2"/>
  <c r="I32" i="2"/>
  <c r="H32" i="2"/>
  <c r="G32" i="2"/>
  <c r="M31" i="2"/>
  <c r="L31" i="2"/>
  <c r="K31" i="2"/>
  <c r="J31" i="2"/>
  <c r="I31" i="2"/>
  <c r="H31" i="2"/>
  <c r="G31" i="2"/>
  <c r="M30" i="2"/>
  <c r="L30" i="2"/>
  <c r="K30" i="2"/>
  <c r="J30" i="2"/>
  <c r="I30" i="2"/>
  <c r="H30" i="2"/>
  <c r="G30" i="2"/>
  <c r="M29" i="2"/>
  <c r="L29" i="2"/>
  <c r="K29" i="2"/>
  <c r="M28" i="2"/>
  <c r="L28" i="2"/>
  <c r="K28" i="2"/>
  <c r="J28" i="2"/>
  <c r="I28" i="2"/>
  <c r="H28" i="2"/>
  <c r="G28" i="2"/>
  <c r="M27" i="2"/>
  <c r="L27" i="2"/>
  <c r="K27" i="2"/>
  <c r="N33" i="2"/>
  <c r="N31" i="2"/>
  <c r="N30" i="2"/>
  <c r="N29" i="2"/>
  <c r="N28" i="2"/>
  <c r="N27" i="2"/>
  <c r="Y22" i="2"/>
  <c r="Y21" i="2"/>
  <c r="Y18" i="2"/>
  <c r="Y17" i="2"/>
  <c r="Y16" i="2"/>
  <c r="Y15" i="2"/>
  <c r="Y14" i="2"/>
  <c r="Y11" i="2"/>
  <c r="Y10" i="2"/>
  <c r="Y9" i="2"/>
  <c r="Y8" i="2"/>
  <c r="Y7" i="2"/>
  <c r="Y6" i="2"/>
  <c r="Y4" i="2"/>
  <c r="Y3" i="2"/>
  <c r="Y24" i="2"/>
  <c r="Y5" i="2"/>
  <c r="Z22" i="2"/>
  <c r="Z21" i="2"/>
  <c r="Z18" i="2"/>
  <c r="Z17" i="2"/>
  <c r="Z16" i="2"/>
  <c r="Z15" i="2"/>
  <c r="Z14" i="2"/>
  <c r="Z11" i="2"/>
  <c r="Z10" i="2"/>
  <c r="Z9" i="2"/>
  <c r="Z8" i="2"/>
  <c r="Z7" i="2"/>
  <c r="Z6" i="2"/>
  <c r="Z4" i="2"/>
  <c r="Z3" i="2"/>
  <c r="Z24" i="2"/>
  <c r="G24" i="2"/>
  <c r="G19" i="2"/>
  <c r="G12" i="2"/>
  <c r="G5" i="2"/>
  <c r="K24" i="2"/>
  <c r="K19" i="2"/>
  <c r="K12" i="2"/>
  <c r="K5" i="2"/>
  <c r="H24" i="2"/>
  <c r="H19" i="2"/>
  <c r="H12" i="2"/>
  <c r="H5" i="2"/>
  <c r="L24" i="2"/>
  <c r="L19" i="2"/>
  <c r="L12" i="2"/>
  <c r="L5" i="2"/>
  <c r="I24" i="2"/>
  <c r="I19" i="2"/>
  <c r="I12" i="2"/>
  <c r="I5" i="2"/>
  <c r="M24" i="2"/>
  <c r="M19" i="2"/>
  <c r="M12" i="2"/>
  <c r="M5" i="2"/>
  <c r="J24" i="2"/>
  <c r="J19" i="2"/>
  <c r="J12" i="2"/>
  <c r="J5" i="2"/>
  <c r="N24" i="2"/>
  <c r="N23" i="2"/>
  <c r="N25" i="2" s="1"/>
  <c r="N20" i="2"/>
  <c r="N34" i="2" s="1"/>
  <c r="N19" i="2"/>
  <c r="N12" i="2"/>
  <c r="N5" i="2"/>
  <c r="N13" i="2" s="1"/>
  <c r="N32" i="2" s="1"/>
  <c r="D8" i="1"/>
  <c r="AO32" i="2" s="1"/>
  <c r="D5" i="1"/>
  <c r="D4" i="1"/>
  <c r="F3" i="1"/>
  <c r="P20" i="2" l="1"/>
  <c r="P22" i="2" s="1"/>
  <c r="P34" i="2" s="1"/>
  <c r="AC14" i="2"/>
  <c r="AB19" i="2"/>
  <c r="AF29" i="2"/>
  <c r="AG29" i="2"/>
  <c r="AA29" i="2"/>
  <c r="AB30" i="2"/>
  <c r="AB10" i="2"/>
  <c r="AB31" i="2" s="1"/>
  <c r="O28" i="2"/>
  <c r="O12" i="2"/>
  <c r="O13" i="2" s="1"/>
  <c r="AB27" i="2"/>
  <c r="O30" i="2"/>
  <c r="D9" i="1"/>
  <c r="AH29" i="2"/>
  <c r="AI29" i="2"/>
  <c r="AJ29" i="2"/>
  <c r="AA19" i="2"/>
  <c r="AA12" i="2"/>
  <c r="AA5" i="2"/>
  <c r="R13" i="2"/>
  <c r="Q13" i="2"/>
  <c r="Q28" i="2"/>
  <c r="P21" i="2"/>
  <c r="P33" i="2" s="1"/>
  <c r="N35" i="2"/>
  <c r="Y19" i="2"/>
  <c r="Y12" i="2"/>
  <c r="Y13" i="2" s="1"/>
  <c r="Z19" i="2"/>
  <c r="Z12" i="2"/>
  <c r="Z5" i="2"/>
  <c r="G13" i="2"/>
  <c r="G20" i="2" s="1"/>
  <c r="G23" i="2" s="1"/>
  <c r="G25" i="2" s="1"/>
  <c r="K13" i="2"/>
  <c r="K20" i="2" s="1"/>
  <c r="K23" i="2" s="1"/>
  <c r="K25" i="2" s="1"/>
  <c r="H13" i="2"/>
  <c r="H20" i="2" s="1"/>
  <c r="H23" i="2" s="1"/>
  <c r="H25" i="2" s="1"/>
  <c r="L13" i="2"/>
  <c r="L20" i="2" s="1"/>
  <c r="L23" i="2" s="1"/>
  <c r="L25" i="2" s="1"/>
  <c r="I13" i="2"/>
  <c r="I20" i="2" s="1"/>
  <c r="I23" i="2" s="1"/>
  <c r="I25" i="2" s="1"/>
  <c r="M13" i="2"/>
  <c r="M20" i="2" s="1"/>
  <c r="M23" i="2" s="1"/>
  <c r="M25" i="2" s="1"/>
  <c r="J13" i="2"/>
  <c r="J20" i="2" s="1"/>
  <c r="J23" i="2" s="1"/>
  <c r="J25" i="2" s="1"/>
  <c r="P23" i="2" l="1"/>
  <c r="AD14" i="2"/>
  <c r="AC19" i="2"/>
  <c r="O32" i="2"/>
  <c r="O20" i="2"/>
  <c r="AA13" i="2"/>
  <c r="AA32" i="2" s="1"/>
  <c r="AA28" i="2"/>
  <c r="AC10" i="2"/>
  <c r="AC31" i="2" s="1"/>
  <c r="AC27" i="2"/>
  <c r="AC28" i="2"/>
  <c r="AB4" i="2"/>
  <c r="AB28" i="2"/>
  <c r="AB12" i="2"/>
  <c r="AB13" i="2" s="1"/>
  <c r="R32" i="2"/>
  <c r="R20" i="2"/>
  <c r="Q20" i="2"/>
  <c r="Q32" i="2"/>
  <c r="Y20" i="2"/>
  <c r="Y23" i="2" s="1"/>
  <c r="Y25" i="2" s="1"/>
  <c r="Z13" i="2"/>
  <c r="Z20" i="2" s="1"/>
  <c r="Z23" i="2" s="1"/>
  <c r="Z25" i="2" s="1"/>
  <c r="P25" i="2" l="1"/>
  <c r="P35" i="2"/>
  <c r="AE14" i="2"/>
  <c r="AD19" i="2"/>
  <c r="AA20" i="2"/>
  <c r="AC4" i="2"/>
  <c r="AD10" i="2"/>
  <c r="AD31" i="2" s="1"/>
  <c r="AD27" i="2"/>
  <c r="AB20" i="2"/>
  <c r="AB32" i="2"/>
  <c r="AC12" i="2"/>
  <c r="AC13" i="2" s="1"/>
  <c r="AC30" i="2"/>
  <c r="R21" i="2"/>
  <c r="R33" i="2" s="1"/>
  <c r="R22" i="2"/>
  <c r="R34" i="2" s="1"/>
  <c r="Q22" i="2"/>
  <c r="Q34" i="2" s="1"/>
  <c r="Q21" i="2"/>
  <c r="AF14" i="2" l="1"/>
  <c r="AE19" i="2"/>
  <c r="AE10" i="2"/>
  <c r="AE31" i="2" s="1"/>
  <c r="AE27" i="2"/>
  <c r="AC20" i="2"/>
  <c r="AC32" i="2"/>
  <c r="O34" i="2"/>
  <c r="AA22" i="2"/>
  <c r="AA34" i="2" s="1"/>
  <c r="AA21" i="2"/>
  <c r="O33" i="2"/>
  <c r="AD4" i="2"/>
  <c r="AD28" i="2"/>
  <c r="AD12" i="2"/>
  <c r="AD13" i="2" s="1"/>
  <c r="AD30" i="2"/>
  <c r="O23" i="2"/>
  <c r="AB21" i="2"/>
  <c r="AB33" i="2" s="1"/>
  <c r="AB22" i="2"/>
  <c r="AB34" i="2" s="1"/>
  <c r="R23" i="2"/>
  <c r="Q23" i="2"/>
  <c r="Q33" i="2"/>
  <c r="AG14" i="2" l="1"/>
  <c r="AF19" i="2"/>
  <c r="O25" i="2"/>
  <c r="O35" i="2"/>
  <c r="AA33" i="2"/>
  <c r="AA23" i="2"/>
  <c r="AE12" i="2"/>
  <c r="AE13" i="2" s="1"/>
  <c r="AE30" i="2"/>
  <c r="AD32" i="2"/>
  <c r="AD20" i="2"/>
  <c r="AC22" i="2"/>
  <c r="AC34" i="2" s="1"/>
  <c r="AC21" i="2"/>
  <c r="AC33" i="2" s="1"/>
  <c r="AB23" i="2"/>
  <c r="AE4" i="2"/>
  <c r="AE28" i="2"/>
  <c r="AF10" i="2"/>
  <c r="AF31" i="2" s="1"/>
  <c r="AG3" i="2"/>
  <c r="AF28" i="2"/>
  <c r="AF4" i="2"/>
  <c r="AF27" i="2"/>
  <c r="R25" i="2"/>
  <c r="R35" i="2"/>
  <c r="Q25" i="2"/>
  <c r="Q35" i="2"/>
  <c r="AG19" i="2" l="1"/>
  <c r="AH14" i="2"/>
  <c r="AD22" i="2"/>
  <c r="AD34" i="2" s="1"/>
  <c r="AD21" i="2"/>
  <c r="AD33" i="2" s="1"/>
  <c r="AE32" i="2"/>
  <c r="AE20" i="2"/>
  <c r="AA25" i="2"/>
  <c r="AA35" i="2"/>
  <c r="AG10" i="2"/>
  <c r="AG30" i="2"/>
  <c r="AH3" i="2"/>
  <c r="AG28" i="2"/>
  <c r="AG27" i="2"/>
  <c r="AB25" i="2"/>
  <c r="AB35" i="2"/>
  <c r="AF12" i="2"/>
  <c r="AF13" i="2" s="1"/>
  <c r="AF30" i="2"/>
  <c r="AC23" i="2"/>
  <c r="AG4" i="2" l="1"/>
  <c r="AH19" i="2"/>
  <c r="AI14" i="2"/>
  <c r="AE21" i="2"/>
  <c r="AE33" i="2" s="1"/>
  <c r="AE22" i="2"/>
  <c r="AE34" i="2" s="1"/>
  <c r="AC25" i="2"/>
  <c r="AC35" i="2"/>
  <c r="AF20" i="2"/>
  <c r="AF32" i="2"/>
  <c r="AG12" i="2"/>
  <c r="AG13" i="2" s="1"/>
  <c r="AG31" i="2"/>
  <c r="AD23" i="2"/>
  <c r="AH10" i="2"/>
  <c r="AH31" i="2" s="1"/>
  <c r="AI3" i="2"/>
  <c r="AH5" i="2"/>
  <c r="AH28" i="2" s="1"/>
  <c r="AH27" i="2"/>
  <c r="AH4" i="2" l="1"/>
  <c r="AJ14" i="2"/>
  <c r="AI19" i="2"/>
  <c r="AE23" i="2"/>
  <c r="AE25" i="2" s="1"/>
  <c r="AF22" i="2"/>
  <c r="AF34" i="2" s="1"/>
  <c r="AF21" i="2"/>
  <c r="AF33" i="2" s="1"/>
  <c r="AH12" i="2"/>
  <c r="AH13" i="2" s="1"/>
  <c r="AH30" i="2"/>
  <c r="AG20" i="2"/>
  <c r="AG32" i="2"/>
  <c r="AD35" i="2"/>
  <c r="AD25" i="2"/>
  <c r="AJ3" i="2"/>
  <c r="AI10" i="2"/>
  <c r="AI31" i="2" s="1"/>
  <c r="AI5" i="2"/>
  <c r="AI28" i="2" s="1"/>
  <c r="AI27" i="2"/>
  <c r="AE35" i="2" l="1"/>
  <c r="AK14" i="2"/>
  <c r="AK19" i="2" s="1"/>
  <c r="AJ19" i="2"/>
  <c r="AI12" i="2"/>
  <c r="AI13" i="2" s="1"/>
  <c r="AI30" i="2"/>
  <c r="AG22" i="2"/>
  <c r="AG34" i="2" s="1"/>
  <c r="AG21" i="2"/>
  <c r="AG33" i="2" s="1"/>
  <c r="AI4" i="2"/>
  <c r="AK3" i="2"/>
  <c r="AJ10" i="2"/>
  <c r="AJ31" i="2" s="1"/>
  <c r="AJ5" i="2"/>
  <c r="AJ28" i="2" s="1"/>
  <c r="AJ4" i="2"/>
  <c r="AJ27" i="2"/>
  <c r="AH20" i="2"/>
  <c r="AH32" i="2"/>
  <c r="AF23" i="2"/>
  <c r="AF25" i="2" l="1"/>
  <c r="AF35" i="2"/>
  <c r="AK10" i="2"/>
  <c r="AK31" i="2" s="1"/>
  <c r="AK5" i="2"/>
  <c r="AK28" i="2" s="1"/>
  <c r="AK27" i="2"/>
  <c r="AH21" i="2"/>
  <c r="AH33" i="2" s="1"/>
  <c r="AH22" i="2"/>
  <c r="AH34" i="2" s="1"/>
  <c r="AG23" i="2"/>
  <c r="AJ12" i="2"/>
  <c r="AJ13" i="2" s="1"/>
  <c r="AJ30" i="2"/>
  <c r="AI20" i="2"/>
  <c r="AI32" i="2"/>
  <c r="AI21" i="2" l="1"/>
  <c r="AI33" i="2" s="1"/>
  <c r="AI22" i="2"/>
  <c r="AI34" i="2" s="1"/>
  <c r="AK4" i="2"/>
  <c r="AJ20" i="2"/>
  <c r="AJ32" i="2"/>
  <c r="AK12" i="2"/>
  <c r="AK13" i="2" s="1"/>
  <c r="AK30" i="2"/>
  <c r="AG25" i="2"/>
  <c r="AG35" i="2"/>
  <c r="AH23" i="2"/>
  <c r="AI23" i="2" l="1"/>
  <c r="AI25" i="2" s="1"/>
  <c r="AK20" i="2"/>
  <c r="AK32" i="2"/>
  <c r="AJ21" i="2"/>
  <c r="AJ33" i="2" s="1"/>
  <c r="AJ22" i="2"/>
  <c r="AJ34" i="2" s="1"/>
  <c r="AH25" i="2"/>
  <c r="AH35" i="2"/>
  <c r="AI35" i="2" l="1"/>
  <c r="AJ23" i="2"/>
  <c r="AJ35" i="2" s="1"/>
  <c r="AK21" i="2"/>
  <c r="AK33" i="2" s="1"/>
  <c r="AK22" i="2"/>
  <c r="AK34" i="2" s="1"/>
  <c r="AK23" i="2" l="1"/>
  <c r="AK25" i="2" s="1"/>
  <c r="AJ25" i="2"/>
  <c r="AL23" i="2" l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BP23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CG23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CU23" i="2" s="1"/>
  <c r="CV23" i="2" s="1"/>
  <c r="CW23" i="2" s="1"/>
  <c r="CX23" i="2" s="1"/>
  <c r="CY23" i="2" s="1"/>
  <c r="CZ23" i="2" s="1"/>
  <c r="DA23" i="2" s="1"/>
  <c r="DB23" i="2" s="1"/>
  <c r="DC23" i="2" s="1"/>
  <c r="DD23" i="2" s="1"/>
  <c r="DE23" i="2" s="1"/>
  <c r="DF23" i="2" s="1"/>
  <c r="DG23" i="2" s="1"/>
  <c r="DH23" i="2" s="1"/>
  <c r="DI23" i="2" s="1"/>
  <c r="DJ23" i="2" s="1"/>
  <c r="DK23" i="2" s="1"/>
  <c r="DL23" i="2" s="1"/>
  <c r="DM23" i="2" s="1"/>
  <c r="DN23" i="2" s="1"/>
  <c r="DO23" i="2" s="1"/>
  <c r="DP23" i="2" s="1"/>
  <c r="DQ23" i="2" s="1"/>
  <c r="DR23" i="2" s="1"/>
  <c r="DS23" i="2" s="1"/>
  <c r="DT23" i="2" s="1"/>
  <c r="DU23" i="2" s="1"/>
  <c r="DV23" i="2" s="1"/>
  <c r="DW23" i="2" s="1"/>
  <c r="DX23" i="2" s="1"/>
  <c r="DY23" i="2" s="1"/>
  <c r="DZ23" i="2" s="1"/>
  <c r="EA23" i="2" s="1"/>
  <c r="EB23" i="2" s="1"/>
  <c r="EC23" i="2" s="1"/>
  <c r="ED23" i="2" s="1"/>
  <c r="EE23" i="2" s="1"/>
  <c r="EF23" i="2" s="1"/>
  <c r="EG23" i="2" s="1"/>
  <c r="EH23" i="2" s="1"/>
  <c r="EI23" i="2" s="1"/>
  <c r="EJ23" i="2" s="1"/>
  <c r="EK23" i="2" s="1"/>
  <c r="EL23" i="2" s="1"/>
  <c r="EM23" i="2" s="1"/>
  <c r="EN23" i="2" s="1"/>
  <c r="EO23" i="2" s="1"/>
  <c r="EP23" i="2" s="1"/>
  <c r="AO31" i="2" s="1"/>
  <c r="AO33" i="2" s="1"/>
  <c r="AO34" i="2" s="1"/>
  <c r="AO36" i="2" s="1"/>
  <c r="AK35" i="2"/>
</calcChain>
</file>

<file path=xl/sharedStrings.xml><?xml version="1.0" encoding="utf-8"?>
<sst xmlns="http://schemas.openxmlformats.org/spreadsheetml/2006/main" count="72" uniqueCount="66">
  <si>
    <t>FOUR</t>
  </si>
  <si>
    <t>Price</t>
  </si>
  <si>
    <t>Shares</t>
  </si>
  <si>
    <t>EV</t>
  </si>
  <si>
    <t>MC</t>
  </si>
  <si>
    <t>Cash</t>
  </si>
  <si>
    <t>Debt</t>
  </si>
  <si>
    <t>Net Cash</t>
  </si>
  <si>
    <t>Last checked</t>
  </si>
  <si>
    <t>Today</t>
  </si>
  <si>
    <t>Earnings</t>
  </si>
  <si>
    <t>Revenue</t>
  </si>
  <si>
    <t>Cost of sales</t>
  </si>
  <si>
    <t>Gross profit</t>
  </si>
  <si>
    <t>G&amp;A</t>
  </si>
  <si>
    <t>D&amp;A</t>
  </si>
  <si>
    <t>Professional expense</t>
  </si>
  <si>
    <t>Other expense</t>
  </si>
  <si>
    <t>S&amp;M</t>
  </si>
  <si>
    <t>Impairment</t>
  </si>
  <si>
    <t>Operating profit</t>
  </si>
  <si>
    <t>Interest income</t>
  </si>
  <si>
    <t>Investment income</t>
  </si>
  <si>
    <t>Finance expense</t>
  </si>
  <si>
    <t>Interest expense</t>
  </si>
  <si>
    <t>Pretax profit</t>
  </si>
  <si>
    <t>Taxes</t>
  </si>
  <si>
    <t>MI</t>
  </si>
  <si>
    <t>Net profit</t>
  </si>
  <si>
    <t>EPS</t>
  </si>
  <si>
    <t>Net finance expense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</si>
  <si>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</si>
  <si>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</si>
  <si>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</si>
  <si>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</si>
  <si>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</si>
  <si>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</si>
  <si>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</si>
  <si>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</si>
  <si>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</si>
  <si>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</si>
  <si>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</si>
  <si>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</si>
  <si>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</si>
  <si>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</si>
  <si>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</si>
  <si>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</si>
  <si>
    <t>Total operating expense</t>
  </si>
  <si>
    <t>Other income</t>
  </si>
  <si>
    <t>Revenue y/y</t>
  </si>
  <si>
    <t>Gross Margin</t>
  </si>
  <si>
    <t>G&amp;A y/y</t>
  </si>
  <si>
    <t>Professional Margin</t>
  </si>
  <si>
    <t>S&amp;M Margin</t>
  </si>
  <si>
    <t>Operating Margin</t>
  </si>
  <si>
    <t>Net Margin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</si>
  <si>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</si>
  <si>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</si>
  <si>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</si>
  <si>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</si>
  <si>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</si>
  <si>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</si>
  <si>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</si>
  <si>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</si>
  <si>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</si>
  <si>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Overvalued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</si>
</sst>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</xdr:colOff>
      <xdr:row>0</xdr:row>
      <xdr:rowOff>7620</xdr:rowOff>
    </xdr:from>
    <xdr:to>
      <xdr:col>15</xdr:col>
      <xdr:colOff>22860</xdr:colOff>
      <xdr:row>39</xdr:row>
      <xdr:rowOff>106680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FAFE1CF-FA27-6372-EF9B-8DFF01E4E69A}"/>
            </a:ext>
          </a:extLst>
        </xdr:cNvPr>
        <xdr:cNvCxnSpPr/>
      </xdr:nvCxnSpPr>
      <xdr:spPr>
        <a:xfrm>
          <a:off x="9982200" y="7620"/>
          <a:ext cx="0" cy="72313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15240</xdr:colOff>
      <xdr:row>0</xdr:row>
      <xdr:rowOff>7620</xdr:rowOff>
    </xdr:from>
    <xdr:to>
      <xdr:col>26</xdr:col>
      <xdr:colOff>15240</xdr:colOff>
      <xdr:row>39</xdr:row>
      <xdr:rowOff>106680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E4ABCD4-DDA1-DD02-C985-F9C3390BF18A}"/>
            </a:ext>
          </a:extLst>
        </xdr:cNvPr>
        <xdr:cNvCxnSpPr/>
      </xdr:nvCxnSpPr>
      <xdr:spPr>
        <a:xfrm>
          <a:off x="16680180" y="7620"/>
          <a:ext cx="0" cy="72313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74E81-96ED-46CE-A3C1-5B881134D282}">
  <dimension ref="B2:G9"/>
  <sheetViews>
    <sheetView workbookViewId="0">
      <selection activeCell="F3" sqref="F3"/>
    </sheetView>
  </sheetViews>
  <sheetFormatPr defaultRowHeight="14.4" x14ac:dyDescent="0.3"/>
  <cols>
    <col min="5" max="7" width="12.77734375" style="2" customWidth="1"/>
  </cols>
  <sheetData>
    <row r="2" spans="2:7" x14ac:dyDescent="0.3">
      <c r="E2" s="2" t="s">
        <v>8</v>
      </c>
      <c r="F2" s="2" t="s">
        <v>9</v>
      </c>
      <c r="G2" s="2" t="s">
        <v>10</v>
      </c>
    </row>
    <row r="3" spans="2:7" x14ac:dyDescent="0.3">
      <c r="B3" s="1" t="s">
        <v>0</v>
      </c>
      <c r="C3" t="s">
        <v>1</v>
      </c>
      <c r="D3" s="4">
        <v>82.36</v>
      </c>
      <c r="E3" s="3">
        <v>45781</v>
      </c>
      <c r="F3" s="3">
        <f ca="1">TODAY()</f>
        <v>45781</v>
      </c>
      <c r="G3" s="3">
        <v>45867</v>
      </c>
    </row>
    <row r="4" spans="2:7" x14ac:dyDescent="0.3">
      <c r="C4" t="s">
        <v>2</v>
      </c>
      <c r="D4" s="5">
        <f>67.8+19.8+1.5</f>
        <v>89.1</v>
      </c>
      <c r="E4" s="2" t="s">
        <v>42</v>
      </c>
    </row>
    <row r="5" spans="2:7" x14ac:dyDescent="0.3">
      <c r="C5" t="s">
        <v>4</v>
      </c>
      <c r="D5" s="5">
        <f>D3*D4</f>
        <v>7338.2759999999998</v>
      </c>
    </row>
    <row r="6" spans="2:7" x14ac:dyDescent="0.3">
      <c r="C6" t="s">
        <v>5</v>
      </c>
      <c r="D6" s="5">
        <f>1167.3</f>
        <v>1167.3</v>
      </c>
      <c r="E6" s="2" t="s">
        <v>43</v>
      </c>
    </row>
    <row r="7" spans="2:7" x14ac:dyDescent="0.3">
      <c r="C7" t="s">
        <v>6</v>
      </c>
      <c r="D7" s="5">
        <f>687.8+2155.7</f>
        <v>2843.5</v>
      </c>
      <c r="E7" s="2" t="s">
        <v>43</v>
      </c>
    </row>
    <row r="8" spans="2:7" x14ac:dyDescent="0.3">
      <c r="C8" t="s">
        <v>7</v>
      </c>
      <c r="D8" s="5">
        <f>D6-D7</f>
        <v>-1676.2</v>
      </c>
    </row>
    <row r="9" spans="2:7" x14ac:dyDescent="0.3">
      <c r="C9" t="s">
        <v>3</v>
      </c>
      <c r="D9" s="5">
        <f>D5-D8</f>
        <v>9014.4760000000006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74867-C015-4EB5-A6A7-44303FBA5A30}">
  <dimension ref="B2:EP37"/>
  <sheetViews>
    <sheetView tabSelected="1" workbookViewId="0">
      <pane xSplit="2" ySplit="2" topLeftCell="X11" activePane="bottomRight" state="frozen"/>
      <selection pane="topRight" activeCell="C1" sqref="C1"/>
      <selection pane="bottomLeft" activeCell="A3" sqref="A3"/>
      <selection pane="bottomRight" activeCell="AO37" sqref="AO37"/>
    </sheetView>
  </sheetViews>
  <sheetFormatPr defaultRowHeight="14.4" x14ac:dyDescent="0.3"/>
  <cols>
    <col min="2" max="2" width="20.77734375" bestFit="1" customWidth="1"/>
    <col min="40" max="40" width="12" bestFit="1" customWidth="1"/>
    <col min="41" max="41" width="13" customWidth="1"/>
  </cols>
  <sheetData>
    <row r="2" spans="2:37" x14ac:dyDescent="0.3">
      <c r="C2" s="6" t="s">
        <v>31</v>
      </c>
      <c r="D2" s="6" t="s">
        <v>32</v>
      </c>
      <c r="E2" s="6" t="s">
        <v>33</v>
      </c>
      <c r="F2" s="6" t="s">
        <v>34</v>
      </c>
      <c r="G2" s="6" t="s">
        <v>35</v>
      </c>
      <c r="H2" s="6" t="s">
        <v>36</v>
      </c>
      <c r="I2" s="6" t="s">
        <v>37</v>
      </c>
      <c r="J2" s="6" t="s">
        <v>38</v>
      </c>
      <c r="K2" s="6" t="s">
        <v>39</v>
      </c>
      <c r="L2" s="6" t="s">
        <v>40</v>
      </c>
      <c r="M2" s="6" t="s">
        <v>41</v>
      </c>
      <c r="N2" s="6" t="s">
        <v>42</v>
      </c>
      <c r="O2" s="6" t="s">
        <v>43</v>
      </c>
      <c r="P2" s="6" t="s">
        <v>44</v>
      </c>
      <c r="Q2" s="6" t="s">
        <v>45</v>
      </c>
      <c r="R2" s="6" t="s">
        <v>46</v>
      </c>
      <c r="U2">
        <v>2019</v>
      </c>
      <c r="V2">
        <v>2020</v>
      </c>
      <c r="W2">
        <v>2021</v>
      </c>
      <c r="X2">
        <v>2022</v>
      </c>
      <c r="Y2">
        <v>2023</v>
      </c>
      <c r="Z2">
        <v>2024</v>
      </c>
      <c r="AA2">
        <v>2025</v>
      </c>
      <c r="AB2">
        <v>2026</v>
      </c>
      <c r="AC2">
        <v>2027</v>
      </c>
      <c r="AD2">
        <v>2028</v>
      </c>
      <c r="AE2">
        <v>2029</v>
      </c>
      <c r="AF2">
        <v>2030</v>
      </c>
      <c r="AG2">
        <v>2031</v>
      </c>
      <c r="AH2">
        <v>2032</v>
      </c>
      <c r="AI2">
        <v>2033</v>
      </c>
      <c r="AJ2">
        <v>2034</v>
      </c>
      <c r="AK2">
        <v>2035</v>
      </c>
    </row>
    <row r="3" spans="2:37" s="1" customFormat="1" x14ac:dyDescent="0.3">
      <c r="B3" s="1" t="s">
        <v>11</v>
      </c>
      <c r="G3" s="8">
        <v>547</v>
      </c>
      <c r="H3" s="8">
        <v>637</v>
      </c>
      <c r="I3" s="8">
        <v>675.4</v>
      </c>
      <c r="J3" s="8">
        <v>705.4</v>
      </c>
      <c r="K3" s="8">
        <v>707.4</v>
      </c>
      <c r="L3" s="8">
        <v>827</v>
      </c>
      <c r="M3" s="8">
        <v>909.2</v>
      </c>
      <c r="N3" s="8">
        <v>887</v>
      </c>
      <c r="O3" s="8">
        <v>848.3</v>
      </c>
      <c r="P3" s="8">
        <f>L3*1.15</f>
        <v>951.05</v>
      </c>
      <c r="Q3" s="8">
        <f t="shared" ref="Q3:R3" si="0">M3*1.15</f>
        <v>1045.58</v>
      </c>
      <c r="R3" s="8">
        <f t="shared" si="0"/>
        <v>1020.05</v>
      </c>
      <c r="Y3" s="8">
        <f>SUM(G3:J3)</f>
        <v>2564.8000000000002</v>
      </c>
      <c r="Z3" s="8">
        <f>SUM(K3:N3)</f>
        <v>3330.6000000000004</v>
      </c>
      <c r="AA3" s="8">
        <f>SUM(O3:R3)</f>
        <v>3864.9799999999996</v>
      </c>
      <c r="AB3" s="8">
        <f>AA3*1.11</f>
        <v>4290.1278000000002</v>
      </c>
      <c r="AC3" s="8">
        <f>AB3*1.07</f>
        <v>4590.4367460000003</v>
      </c>
      <c r="AD3" s="8">
        <f>AC3*1.05</f>
        <v>4819.9585833000001</v>
      </c>
      <c r="AE3" s="8">
        <f>AD3*1.04</f>
        <v>5012.7569266320006</v>
      </c>
      <c r="AF3" s="8">
        <f>AE3*1.03</f>
        <v>5163.1396344309605</v>
      </c>
      <c r="AG3" s="8">
        <f>AF3*1.03</f>
        <v>5318.0338234638893</v>
      </c>
      <c r="AH3" s="8">
        <f t="shared" ref="AH3:AK3" si="1">AG3*1.03</f>
        <v>5477.5748381678059</v>
      </c>
      <c r="AI3" s="8">
        <f t="shared" si="1"/>
        <v>5641.9020833128397</v>
      </c>
      <c r="AJ3" s="8">
        <f t="shared" si="1"/>
        <v>5811.1591458122248</v>
      </c>
      <c r="AK3" s="8">
        <f t="shared" si="1"/>
        <v>5985.4939201865918</v>
      </c>
    </row>
    <row r="4" spans="2:37" x14ac:dyDescent="0.3">
      <c r="B4" t="s">
        <v>12</v>
      </c>
      <c r="G4" s="5">
        <v>401.6</v>
      </c>
      <c r="H4" s="5">
        <v>470.1</v>
      </c>
      <c r="I4" s="5">
        <v>495.1</v>
      </c>
      <c r="J4" s="5">
        <v>510.2</v>
      </c>
      <c r="K4" s="5">
        <v>519.6</v>
      </c>
      <c r="L4" s="5">
        <v>595.20000000000005</v>
      </c>
      <c r="M4" s="5">
        <v>641.9</v>
      </c>
      <c r="N4" s="5">
        <v>600.79999999999995</v>
      </c>
      <c r="O4" s="5">
        <v>591.29999999999995</v>
      </c>
      <c r="P4" s="5">
        <f t="shared" ref="P4:R4" si="2">P3-P5</f>
        <v>646.71399999999994</v>
      </c>
      <c r="Q4" s="5">
        <f t="shared" si="2"/>
        <v>700.53859999999986</v>
      </c>
      <c r="R4" s="5">
        <f t="shared" si="2"/>
        <v>673.23299999999995</v>
      </c>
      <c r="Y4" s="5">
        <f>SUM(G4:J4)</f>
        <v>1877.0000000000002</v>
      </c>
      <c r="Z4" s="5">
        <f>SUM(K4:N4)</f>
        <v>2357.5</v>
      </c>
      <c r="AA4" s="5">
        <f>SUM(O4:R4)</f>
        <v>2611.7855999999997</v>
      </c>
      <c r="AB4" s="5">
        <f>AB3-AB5</f>
        <v>2831.484348</v>
      </c>
      <c r="AC4" s="5">
        <f t="shared" ref="AC4:AK4" si="3">AC3-AC5</f>
        <v>2937.8795174400002</v>
      </c>
      <c r="AD4" s="5">
        <f t="shared" si="3"/>
        <v>3036.5739074789999</v>
      </c>
      <c r="AE4" s="5">
        <f t="shared" si="3"/>
        <v>3107.9092945118405</v>
      </c>
      <c r="AF4" s="5">
        <f t="shared" si="3"/>
        <v>3149.515177002886</v>
      </c>
      <c r="AG4" s="5">
        <f t="shared" si="3"/>
        <v>3190.8202940783335</v>
      </c>
      <c r="AH4" s="5">
        <f t="shared" si="3"/>
        <v>3286.5449029006836</v>
      </c>
      <c r="AI4" s="5">
        <f t="shared" si="3"/>
        <v>3385.1412499877038</v>
      </c>
      <c r="AJ4" s="5">
        <f t="shared" si="3"/>
        <v>3486.695487487335</v>
      </c>
      <c r="AK4" s="5">
        <f t="shared" si="3"/>
        <v>3591.296352111955</v>
      </c>
    </row>
    <row r="5" spans="2:37" s="1" customFormat="1" x14ac:dyDescent="0.3">
      <c r="B5" s="1" t="s">
        <v>13</v>
      </c>
      <c r="G5" s="8">
        <f t="shared" ref="G5:O5" si="4">G3-G4</f>
        <v>145.39999999999998</v>
      </c>
      <c r="H5" s="8">
        <f t="shared" si="4"/>
        <v>166.89999999999998</v>
      </c>
      <c r="I5" s="8">
        <f t="shared" si="4"/>
        <v>180.29999999999995</v>
      </c>
      <c r="J5" s="8">
        <f t="shared" si="4"/>
        <v>195.2</v>
      </c>
      <c r="K5" s="8">
        <f t="shared" si="4"/>
        <v>187.79999999999995</v>
      </c>
      <c r="L5" s="8">
        <f t="shared" si="4"/>
        <v>231.79999999999995</v>
      </c>
      <c r="M5" s="8">
        <f t="shared" si="4"/>
        <v>267.30000000000007</v>
      </c>
      <c r="N5" s="8">
        <f t="shared" si="4"/>
        <v>286.20000000000005</v>
      </c>
      <c r="O5" s="8">
        <f t="shared" si="4"/>
        <v>257</v>
      </c>
      <c r="P5" s="8">
        <f>P3*0.32</f>
        <v>304.33600000000001</v>
      </c>
      <c r="Q5" s="8">
        <f>Q3*0.33</f>
        <v>345.04140000000001</v>
      </c>
      <c r="R5" s="8">
        <f>R3*0.34</f>
        <v>346.81700000000001</v>
      </c>
      <c r="Y5" s="8">
        <f>Y3-Y4</f>
        <v>687.8</v>
      </c>
      <c r="Z5" s="8">
        <f>Z3-Z4</f>
        <v>973.10000000000036</v>
      </c>
      <c r="AA5" s="8">
        <f>AA3-AA4</f>
        <v>1253.1943999999999</v>
      </c>
      <c r="AB5" s="8">
        <f>AB3*0.34</f>
        <v>1458.6434520000003</v>
      </c>
      <c r="AC5" s="8">
        <f>AC3*0.36</f>
        <v>1652.5572285600001</v>
      </c>
      <c r="AD5" s="8">
        <f>AD3*0.37</f>
        <v>1783.384675821</v>
      </c>
      <c r="AE5" s="8">
        <f>AE3*0.38</f>
        <v>1904.8476321201601</v>
      </c>
      <c r="AF5" s="8">
        <f>AF3*0.39</f>
        <v>2013.6244574280747</v>
      </c>
      <c r="AG5" s="8">
        <f>AG3*0.4</f>
        <v>2127.2135293855558</v>
      </c>
      <c r="AH5" s="8">
        <f t="shared" ref="AH5:AK5" si="5">AH3*0.4</f>
        <v>2191.0299352671223</v>
      </c>
      <c r="AI5" s="8">
        <f t="shared" si="5"/>
        <v>2256.760833325136</v>
      </c>
      <c r="AJ5" s="8">
        <f t="shared" si="5"/>
        <v>2324.4636583248898</v>
      </c>
      <c r="AK5" s="8">
        <f t="shared" si="5"/>
        <v>2394.1975680746368</v>
      </c>
    </row>
    <row r="6" spans="2:37" x14ac:dyDescent="0.3">
      <c r="B6" t="s">
        <v>14</v>
      </c>
      <c r="G6" s="5">
        <v>85.7</v>
      </c>
      <c r="H6" s="5">
        <v>82.1</v>
      </c>
      <c r="I6" s="5">
        <v>76.3</v>
      </c>
      <c r="J6" s="5">
        <v>85.2</v>
      </c>
      <c r="K6" s="5">
        <v>107.1</v>
      </c>
      <c r="L6" s="5">
        <v>110.1</v>
      </c>
      <c r="M6" s="5">
        <v>118.2</v>
      </c>
      <c r="N6" s="5">
        <v>124.1</v>
      </c>
      <c r="O6" s="5">
        <v>154</v>
      </c>
      <c r="P6" s="5">
        <f t="shared" ref="P6:R6" si="6">L6*1.3</f>
        <v>143.13</v>
      </c>
      <c r="Q6" s="5">
        <f t="shared" si="6"/>
        <v>153.66</v>
      </c>
      <c r="R6" s="5">
        <f t="shared" si="6"/>
        <v>161.32999999999998</v>
      </c>
      <c r="Y6" s="5">
        <f t="shared" ref="Y6:Y11" si="7">SUM(G6:J6)</f>
        <v>329.3</v>
      </c>
      <c r="Z6" s="5">
        <f t="shared" ref="Z6:Z11" si="8">SUM(K6:N6)</f>
        <v>459.5</v>
      </c>
      <c r="AA6" s="5">
        <f t="shared" ref="AA6:AA11" si="9">SUM(O6:R6)</f>
        <v>612.11999999999989</v>
      </c>
      <c r="AB6" s="5">
        <f>AA6*1.2</f>
        <v>734.54399999999987</v>
      </c>
      <c r="AC6" s="5">
        <f>AB6*1.1</f>
        <v>807.99839999999995</v>
      </c>
      <c r="AD6" s="5">
        <f>AC6*1.05</f>
        <v>848.39832000000001</v>
      </c>
      <c r="AE6" s="5">
        <f>AD6*1.04</f>
        <v>882.33425280000006</v>
      </c>
      <c r="AF6" s="5">
        <f>AE6*1.03</f>
        <v>908.80428038400009</v>
      </c>
      <c r="AG6" s="5">
        <f>AF6*1.02</f>
        <v>926.98036599168006</v>
      </c>
      <c r="AH6" s="5">
        <f t="shared" ref="AH6:AK6" si="10">AG6*1.02</f>
        <v>945.5199733115137</v>
      </c>
      <c r="AI6" s="5">
        <f t="shared" si="10"/>
        <v>964.43037277774397</v>
      </c>
      <c r="AJ6" s="5">
        <f t="shared" si="10"/>
        <v>983.71898023329891</v>
      </c>
      <c r="AK6" s="5">
        <f t="shared" si="10"/>
        <v>1003.3933598379649</v>
      </c>
    </row>
    <row r="7" spans="2:37" x14ac:dyDescent="0.3">
      <c r="B7" t="s">
        <v>17</v>
      </c>
      <c r="G7" s="5">
        <v>7</v>
      </c>
      <c r="H7" s="5">
        <v>5.6</v>
      </c>
      <c r="I7" s="5">
        <v>8.9</v>
      </c>
      <c r="J7" s="5">
        <v>1.6</v>
      </c>
      <c r="K7" s="5">
        <v>2.1</v>
      </c>
      <c r="L7" s="5">
        <v>0.3</v>
      </c>
      <c r="M7" s="5">
        <v>1.5</v>
      </c>
      <c r="N7" s="5">
        <v>0.1</v>
      </c>
      <c r="O7" s="5">
        <v>-3.7</v>
      </c>
      <c r="P7" s="5">
        <v>0</v>
      </c>
      <c r="Q7" s="5">
        <v>0</v>
      </c>
      <c r="R7" s="5">
        <v>0</v>
      </c>
      <c r="Y7" s="5">
        <f t="shared" si="7"/>
        <v>23.1</v>
      </c>
      <c r="Z7" s="5">
        <f t="shared" si="8"/>
        <v>4</v>
      </c>
      <c r="AA7" s="5">
        <f t="shared" si="9"/>
        <v>-3.7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</row>
    <row r="8" spans="2:37" x14ac:dyDescent="0.3">
      <c r="B8" t="s">
        <v>15</v>
      </c>
      <c r="G8" s="5">
        <v>35.299999999999997</v>
      </c>
      <c r="H8" s="5">
        <v>35.9</v>
      </c>
      <c r="I8" s="5">
        <v>40</v>
      </c>
      <c r="J8" s="5">
        <v>42.6</v>
      </c>
      <c r="K8" s="5">
        <v>44.8</v>
      </c>
      <c r="L8" s="5">
        <v>46.7</v>
      </c>
      <c r="M8" s="5">
        <v>51.6</v>
      </c>
      <c r="N8" s="5">
        <v>56.4</v>
      </c>
      <c r="O8" s="5">
        <v>56</v>
      </c>
      <c r="P8" s="5">
        <f t="shared" ref="P8:R8" si="11">L8*1.3</f>
        <v>60.710000000000008</v>
      </c>
      <c r="Q8" s="5">
        <f t="shared" si="11"/>
        <v>67.08</v>
      </c>
      <c r="R8" s="5">
        <f t="shared" si="11"/>
        <v>73.320000000000007</v>
      </c>
      <c r="Y8" s="5">
        <f t="shared" si="7"/>
        <v>153.79999999999998</v>
      </c>
      <c r="Z8" s="5">
        <f t="shared" si="8"/>
        <v>199.5</v>
      </c>
      <c r="AA8" s="5">
        <f t="shared" si="9"/>
        <v>257.11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</row>
    <row r="9" spans="2:37" x14ac:dyDescent="0.3">
      <c r="B9" t="s">
        <v>16</v>
      </c>
      <c r="G9" s="5">
        <v>6.1</v>
      </c>
      <c r="H9" s="5">
        <v>5.4</v>
      </c>
      <c r="I9" s="5">
        <v>5.7</v>
      </c>
      <c r="J9" s="5">
        <v>15.9</v>
      </c>
      <c r="K9" s="5">
        <v>8</v>
      </c>
      <c r="L9" s="5">
        <v>11.6</v>
      </c>
      <c r="M9" s="5">
        <v>9.4</v>
      </c>
      <c r="N9" s="5">
        <v>12.4</v>
      </c>
      <c r="O9" s="5">
        <v>18.600000000000001</v>
      </c>
      <c r="P9" s="5">
        <v>18.600000000000001</v>
      </c>
      <c r="Q9" s="5">
        <v>18.600000000000001</v>
      </c>
      <c r="R9" s="5">
        <v>18.600000000000001</v>
      </c>
      <c r="Y9" s="5">
        <f t="shared" si="7"/>
        <v>33.1</v>
      </c>
      <c r="Z9" s="5">
        <f t="shared" si="8"/>
        <v>41.4</v>
      </c>
      <c r="AA9" s="5">
        <f t="shared" si="9"/>
        <v>74.400000000000006</v>
      </c>
      <c r="AB9" s="5">
        <f>AB3*0.02</f>
        <v>85.80255600000001</v>
      </c>
      <c r="AC9" s="5">
        <f t="shared" ref="AC9:AK9" si="12">AC3*0.02</f>
        <v>91.808734920000006</v>
      </c>
      <c r="AD9" s="5">
        <f t="shared" si="12"/>
        <v>96.399171666000001</v>
      </c>
      <c r="AE9" s="5">
        <f t="shared" si="12"/>
        <v>100.25513853264002</v>
      </c>
      <c r="AF9" s="5">
        <f t="shared" si="12"/>
        <v>103.26279268861921</v>
      </c>
      <c r="AG9" s="5">
        <f t="shared" si="12"/>
        <v>106.36067646927779</v>
      </c>
      <c r="AH9" s="5">
        <f t="shared" si="12"/>
        <v>109.55149676335611</v>
      </c>
      <c r="AI9" s="5">
        <f t="shared" si="12"/>
        <v>112.8380416662568</v>
      </c>
      <c r="AJ9" s="5">
        <f t="shared" si="12"/>
        <v>116.2231829162445</v>
      </c>
      <c r="AK9" s="5">
        <f t="shared" si="12"/>
        <v>119.70987840373184</v>
      </c>
    </row>
    <row r="10" spans="2:37" x14ac:dyDescent="0.3">
      <c r="B10" t="s">
        <v>18</v>
      </c>
      <c r="G10" s="5">
        <v>2.5</v>
      </c>
      <c r="H10" s="5">
        <v>4</v>
      </c>
      <c r="I10" s="5">
        <v>4.7</v>
      </c>
      <c r="J10" s="5">
        <v>3.9</v>
      </c>
      <c r="K10" s="5">
        <v>4.4000000000000004</v>
      </c>
      <c r="L10" s="5">
        <v>3.9</v>
      </c>
      <c r="M10" s="5">
        <v>6.2</v>
      </c>
      <c r="N10" s="5">
        <v>7.2</v>
      </c>
      <c r="O10" s="5">
        <v>6.7</v>
      </c>
      <c r="P10" s="5">
        <f t="shared" ref="P10:R10" si="13">P3*0.008</f>
        <v>7.6083999999999996</v>
      </c>
      <c r="Q10" s="5">
        <f t="shared" si="13"/>
        <v>8.3646399999999996</v>
      </c>
      <c r="R10" s="5">
        <f t="shared" si="13"/>
        <v>8.1603999999999992</v>
      </c>
      <c r="Y10" s="5">
        <f t="shared" si="7"/>
        <v>15.1</v>
      </c>
      <c r="Z10" s="5">
        <f t="shared" si="8"/>
        <v>21.7</v>
      </c>
      <c r="AA10" s="5">
        <f t="shared" si="9"/>
        <v>30.83344</v>
      </c>
      <c r="AB10" s="5">
        <f>AB3*0.008</f>
        <v>34.321022400000004</v>
      </c>
      <c r="AC10" s="5">
        <f t="shared" ref="AC10:AK10" si="14">AC3*0.008</f>
        <v>36.723493968000007</v>
      </c>
      <c r="AD10" s="5">
        <f t="shared" si="14"/>
        <v>38.5596686664</v>
      </c>
      <c r="AE10" s="5">
        <f t="shared" si="14"/>
        <v>40.102055413056007</v>
      </c>
      <c r="AF10" s="5">
        <f t="shared" si="14"/>
        <v>41.305117075447683</v>
      </c>
      <c r="AG10" s="5">
        <f t="shared" si="14"/>
        <v>42.544270587711118</v>
      </c>
      <c r="AH10" s="5">
        <f t="shared" si="14"/>
        <v>43.820598705342448</v>
      </c>
      <c r="AI10" s="5">
        <f t="shared" si="14"/>
        <v>45.135216666502721</v>
      </c>
      <c r="AJ10" s="5">
        <f t="shared" si="14"/>
        <v>46.489273166497796</v>
      </c>
      <c r="AK10" s="5">
        <f t="shared" si="14"/>
        <v>47.883951361492734</v>
      </c>
    </row>
    <row r="11" spans="2:37" x14ac:dyDescent="0.3">
      <c r="B11" t="s">
        <v>19</v>
      </c>
      <c r="G11" s="5">
        <v>0</v>
      </c>
      <c r="H11" s="5">
        <v>0</v>
      </c>
      <c r="I11" s="5">
        <v>0</v>
      </c>
      <c r="J11" s="5">
        <v>18.600000000000001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Y11" s="5">
        <f t="shared" si="7"/>
        <v>18.600000000000001</v>
      </c>
      <c r="Z11" s="5">
        <f t="shared" si="8"/>
        <v>0</v>
      </c>
      <c r="AA11" s="5">
        <f t="shared" si="9"/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</row>
    <row r="12" spans="2:37" x14ac:dyDescent="0.3">
      <c r="B12" t="s">
        <v>47</v>
      </c>
      <c r="G12" s="5">
        <f t="shared" ref="G12:N12" si="15">SUM(G6:G11)</f>
        <v>136.6</v>
      </c>
      <c r="H12" s="5">
        <f t="shared" si="15"/>
        <v>133</v>
      </c>
      <c r="I12" s="5">
        <f t="shared" si="15"/>
        <v>135.6</v>
      </c>
      <c r="J12" s="5">
        <f t="shared" si="15"/>
        <v>167.8</v>
      </c>
      <c r="K12" s="5">
        <f t="shared" si="15"/>
        <v>166.4</v>
      </c>
      <c r="L12" s="5">
        <f t="shared" si="15"/>
        <v>172.6</v>
      </c>
      <c r="M12" s="5">
        <f t="shared" si="15"/>
        <v>186.9</v>
      </c>
      <c r="N12" s="5">
        <f t="shared" si="15"/>
        <v>200.2</v>
      </c>
      <c r="O12" s="5">
        <f t="shared" ref="O12:R12" si="16">SUM(O6:O11)</f>
        <v>231.6</v>
      </c>
      <c r="P12" s="5">
        <f t="shared" si="16"/>
        <v>230.04839999999999</v>
      </c>
      <c r="Q12" s="5">
        <f t="shared" si="16"/>
        <v>247.70464000000001</v>
      </c>
      <c r="R12" s="5">
        <f t="shared" si="16"/>
        <v>261.41039999999998</v>
      </c>
      <c r="Y12" s="5">
        <f>SUM(Y6:Y11)</f>
        <v>573.00000000000011</v>
      </c>
      <c r="Z12" s="5">
        <f>SUM(Z6:Z11)</f>
        <v>726.1</v>
      </c>
      <c r="AA12" s="5">
        <f>SUM(AA6:AA11)</f>
        <v>970.76343999999983</v>
      </c>
      <c r="AB12" s="5">
        <f>SUM(AB6:AB11)</f>
        <v>854.66757839999991</v>
      </c>
      <c r="AC12" s="5">
        <f t="shared" ref="AC12:AK12" si="17">SUM(AC6:AC11)</f>
        <v>936.53062888799991</v>
      </c>
      <c r="AD12" s="5">
        <f t="shared" si="17"/>
        <v>983.3571603324001</v>
      </c>
      <c r="AE12" s="5">
        <f t="shared" si="17"/>
        <v>1022.6914467456961</v>
      </c>
      <c r="AF12" s="5">
        <f t="shared" si="17"/>
        <v>1053.3721901480669</v>
      </c>
      <c r="AG12" s="5">
        <f t="shared" si="17"/>
        <v>1075.8853130486689</v>
      </c>
      <c r="AH12" s="5">
        <f t="shared" si="17"/>
        <v>1098.8920687802124</v>
      </c>
      <c r="AI12" s="5">
        <f t="shared" si="17"/>
        <v>1122.4036311105035</v>
      </c>
      <c r="AJ12" s="5">
        <f t="shared" si="17"/>
        <v>1146.4314363160411</v>
      </c>
      <c r="AK12" s="5">
        <f t="shared" si="17"/>
        <v>1170.9871896031896</v>
      </c>
    </row>
    <row r="13" spans="2:37" s="1" customFormat="1" x14ac:dyDescent="0.3">
      <c r="B13" s="1" t="s">
        <v>20</v>
      </c>
      <c r="G13" s="8">
        <f t="shared" ref="G13:N13" si="18">G5-G12</f>
        <v>8.7999999999999829</v>
      </c>
      <c r="H13" s="8">
        <f t="shared" si="18"/>
        <v>33.899999999999977</v>
      </c>
      <c r="I13" s="8">
        <f t="shared" si="18"/>
        <v>44.69999999999996</v>
      </c>
      <c r="J13" s="8">
        <f t="shared" si="18"/>
        <v>27.399999999999977</v>
      </c>
      <c r="K13" s="8">
        <f t="shared" si="18"/>
        <v>21.399999999999949</v>
      </c>
      <c r="L13" s="8">
        <f t="shared" si="18"/>
        <v>59.19999999999996</v>
      </c>
      <c r="M13" s="8">
        <f t="shared" si="18"/>
        <v>80.400000000000063</v>
      </c>
      <c r="N13" s="8">
        <f t="shared" si="18"/>
        <v>86.000000000000057</v>
      </c>
      <c r="O13" s="8">
        <f t="shared" ref="O13:R13" si="19">O5-O12</f>
        <v>25.400000000000006</v>
      </c>
      <c r="P13" s="8">
        <f t="shared" si="19"/>
        <v>74.287600000000026</v>
      </c>
      <c r="Q13" s="8">
        <f t="shared" si="19"/>
        <v>97.336759999999998</v>
      </c>
      <c r="R13" s="8">
        <f t="shared" si="19"/>
        <v>85.406600000000026</v>
      </c>
      <c r="Y13" s="8">
        <f>Y5-Y12</f>
        <v>114.79999999999984</v>
      </c>
      <c r="Z13" s="8">
        <f>Z5-Z12</f>
        <v>247.00000000000034</v>
      </c>
      <c r="AA13" s="8">
        <f>AA5-AA12</f>
        <v>282.43096000000003</v>
      </c>
      <c r="AB13" s="8">
        <f>AB5-AB12</f>
        <v>603.97587360000034</v>
      </c>
      <c r="AC13" s="8">
        <f t="shared" ref="AC13:AK13" si="20">AC5-AC12</f>
        <v>716.0265996720002</v>
      </c>
      <c r="AD13" s="8">
        <f t="shared" si="20"/>
        <v>800.02751548859987</v>
      </c>
      <c r="AE13" s="8">
        <f t="shared" si="20"/>
        <v>882.15618537446403</v>
      </c>
      <c r="AF13" s="8">
        <f t="shared" si="20"/>
        <v>960.2522672800078</v>
      </c>
      <c r="AG13" s="8">
        <f t="shared" si="20"/>
        <v>1051.328216336887</v>
      </c>
      <c r="AH13" s="8">
        <f t="shared" si="20"/>
        <v>1092.1378664869098</v>
      </c>
      <c r="AI13" s="8">
        <f t="shared" si="20"/>
        <v>1134.3572022146325</v>
      </c>
      <c r="AJ13" s="8">
        <f t="shared" si="20"/>
        <v>1178.0322220088487</v>
      </c>
      <c r="AK13" s="8">
        <f t="shared" si="20"/>
        <v>1223.2103784714473</v>
      </c>
    </row>
    <row r="14" spans="2:37" x14ac:dyDescent="0.3">
      <c r="B14" t="s">
        <v>21</v>
      </c>
      <c r="G14" s="5">
        <v>-7.6</v>
      </c>
      <c r="H14" s="5">
        <v>-8.8000000000000007</v>
      </c>
      <c r="I14" s="5">
        <v>-9.6</v>
      </c>
      <c r="J14" s="5">
        <v>-5.9</v>
      </c>
      <c r="K14" s="5">
        <v>-5.4</v>
      </c>
      <c r="L14" s="5">
        <v>-5</v>
      </c>
      <c r="M14" s="5">
        <v>-9.6999999999999993</v>
      </c>
      <c r="N14" s="5">
        <v>-13.6</v>
      </c>
      <c r="O14" s="5">
        <v>-12.4</v>
      </c>
      <c r="P14" s="5">
        <f t="shared" ref="P14:R14" si="21">L14*1.2</f>
        <v>-6</v>
      </c>
      <c r="Q14" s="5">
        <f t="shared" si="21"/>
        <v>-11.639999999999999</v>
      </c>
      <c r="R14" s="5">
        <f t="shared" si="21"/>
        <v>-16.32</v>
      </c>
      <c r="Y14" s="5">
        <f>SUM(G14:J14)</f>
        <v>-31.9</v>
      </c>
      <c r="Z14" s="5">
        <f>SUM(K14:N14)</f>
        <v>-33.700000000000003</v>
      </c>
      <c r="AA14" s="5">
        <f>SUM(O14:R14)</f>
        <v>-46.36</v>
      </c>
      <c r="AB14" s="5">
        <f>AA14*1.05</f>
        <v>-48.678000000000004</v>
      </c>
      <c r="AC14" s="5">
        <f t="shared" ref="AC14:AK14" si="22">AB14*1.05</f>
        <v>-51.111900000000006</v>
      </c>
      <c r="AD14" s="5">
        <f t="shared" si="22"/>
        <v>-53.667495000000009</v>
      </c>
      <c r="AE14" s="5">
        <f t="shared" si="22"/>
        <v>-56.350869750000015</v>
      </c>
      <c r="AF14" s="5">
        <f t="shared" si="22"/>
        <v>-59.168413237500019</v>
      </c>
      <c r="AG14" s="5">
        <f t="shared" si="22"/>
        <v>-62.126833899375022</v>
      </c>
      <c r="AH14" s="5">
        <f t="shared" si="22"/>
        <v>-65.233175594343777</v>
      </c>
      <c r="AI14" s="5">
        <f t="shared" si="22"/>
        <v>-68.494834374060972</v>
      </c>
      <c r="AJ14" s="5">
        <f t="shared" si="22"/>
        <v>-71.919576092764018</v>
      </c>
      <c r="AK14" s="5">
        <f t="shared" si="22"/>
        <v>-75.515554897402225</v>
      </c>
    </row>
    <row r="15" spans="2:37" x14ac:dyDescent="0.3">
      <c r="B15" t="s">
        <v>48</v>
      </c>
      <c r="G15" s="5">
        <v>-0.1</v>
      </c>
      <c r="H15" s="5">
        <v>0.4</v>
      </c>
      <c r="I15" s="5">
        <v>0</v>
      </c>
      <c r="J15" s="5">
        <v>3.6</v>
      </c>
      <c r="K15" s="5">
        <v>-1.4</v>
      </c>
      <c r="L15" s="5">
        <v>-0.4</v>
      </c>
      <c r="M15" s="5">
        <v>1.5</v>
      </c>
      <c r="N15" s="5">
        <v>-1.5</v>
      </c>
      <c r="O15" s="5">
        <v>1.2</v>
      </c>
      <c r="P15" s="5">
        <v>0</v>
      </c>
      <c r="Q15" s="5">
        <v>0</v>
      </c>
      <c r="R15" s="5">
        <v>0</v>
      </c>
      <c r="Y15" s="5">
        <f>SUM(G15:J15)</f>
        <v>3.9000000000000004</v>
      </c>
      <c r="Z15" s="5">
        <f>SUM(K15:N15)</f>
        <v>-1.7999999999999998</v>
      </c>
      <c r="AA15" s="5">
        <f>SUM(O15:R15)</f>
        <v>1.2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</row>
    <row r="16" spans="2:37" x14ac:dyDescent="0.3">
      <c r="B16" t="s">
        <v>22</v>
      </c>
      <c r="G16" s="5">
        <v>-8.9</v>
      </c>
      <c r="H16" s="5">
        <v>0</v>
      </c>
      <c r="I16" s="5">
        <v>-2.6</v>
      </c>
      <c r="J16" s="5">
        <v>-0.7</v>
      </c>
      <c r="K16" s="5">
        <v>-11</v>
      </c>
      <c r="L16" s="5">
        <v>0.2</v>
      </c>
      <c r="M16" s="5">
        <v>-10.8</v>
      </c>
      <c r="N16" s="5">
        <v>-45.1</v>
      </c>
      <c r="O16" s="5">
        <v>-0.3</v>
      </c>
      <c r="P16" s="5">
        <v>0</v>
      </c>
      <c r="Q16" s="5">
        <v>0</v>
      </c>
      <c r="R16" s="5">
        <v>0</v>
      </c>
      <c r="Y16" s="5">
        <f>SUM(G16:J16)</f>
        <v>-12.2</v>
      </c>
      <c r="Z16" s="5">
        <f>SUM(K16:N16)</f>
        <v>-66.7</v>
      </c>
      <c r="AA16" s="5">
        <f>SUM(O16:R16)</f>
        <v>-0.3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</row>
    <row r="17" spans="2:146" x14ac:dyDescent="0.3">
      <c r="B17" t="s">
        <v>23</v>
      </c>
      <c r="G17" s="5">
        <v>0.5</v>
      </c>
      <c r="H17" s="5">
        <v>0.8</v>
      </c>
      <c r="I17" s="5">
        <v>1.5</v>
      </c>
      <c r="J17" s="5">
        <v>0.6</v>
      </c>
      <c r="K17" s="5">
        <v>1.2</v>
      </c>
      <c r="L17" s="5">
        <v>3.6</v>
      </c>
      <c r="M17" s="5">
        <v>289.39999999999998</v>
      </c>
      <c r="N17" s="5">
        <v>-5.2</v>
      </c>
      <c r="O17" s="5">
        <v>-3</v>
      </c>
      <c r="P17" s="5">
        <v>0</v>
      </c>
      <c r="Q17" s="5">
        <v>0</v>
      </c>
      <c r="R17" s="5">
        <v>0</v>
      </c>
      <c r="Y17" s="5">
        <f>SUM(G17:J17)</f>
        <v>3.4</v>
      </c>
      <c r="Z17" s="5">
        <f>SUM(K17:N17)</f>
        <v>289</v>
      </c>
      <c r="AA17" s="5">
        <f>SUM(O17:R17)</f>
        <v>-3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</row>
    <row r="18" spans="2:146" x14ac:dyDescent="0.3">
      <c r="B18" t="s">
        <v>24</v>
      </c>
      <c r="G18" s="5">
        <v>8.1</v>
      </c>
      <c r="H18" s="5">
        <v>8</v>
      </c>
      <c r="I18" s="5">
        <v>8</v>
      </c>
      <c r="J18" s="5">
        <v>8</v>
      </c>
      <c r="K18" s="5">
        <v>8.1</v>
      </c>
      <c r="L18" s="5">
        <v>8.1</v>
      </c>
      <c r="M18" s="5">
        <v>18.3</v>
      </c>
      <c r="N18" s="5">
        <v>27.3</v>
      </c>
      <c r="O18" s="5">
        <v>28.5</v>
      </c>
      <c r="P18" s="5">
        <v>28.5</v>
      </c>
      <c r="Q18" s="5">
        <v>28.5</v>
      </c>
      <c r="R18" s="5">
        <v>28.5</v>
      </c>
      <c r="Y18" s="5">
        <f>SUM(G18:J18)</f>
        <v>32.1</v>
      </c>
      <c r="Z18" s="5">
        <f>SUM(K18:N18)</f>
        <v>61.8</v>
      </c>
      <c r="AA18" s="5">
        <f>SUM(O18:R18)</f>
        <v>114</v>
      </c>
      <c r="AB18" s="5">
        <f>AA18*1.03</f>
        <v>117.42</v>
      </c>
      <c r="AC18" s="5">
        <f t="shared" ref="AC18:AK18" si="23">AB18*1.03</f>
        <v>120.9426</v>
      </c>
      <c r="AD18" s="5">
        <f t="shared" si="23"/>
        <v>124.57087800000001</v>
      </c>
      <c r="AE18" s="5">
        <f t="shared" si="23"/>
        <v>128.30800434000002</v>
      </c>
      <c r="AF18" s="5">
        <f t="shared" si="23"/>
        <v>132.15724447020003</v>
      </c>
      <c r="AG18" s="5">
        <f t="shared" si="23"/>
        <v>136.12196180430604</v>
      </c>
      <c r="AH18" s="5">
        <f t="shared" si="23"/>
        <v>140.20562065843524</v>
      </c>
      <c r="AI18" s="5">
        <f t="shared" si="23"/>
        <v>144.41178927818831</v>
      </c>
      <c r="AJ18" s="5">
        <f t="shared" si="23"/>
        <v>148.74414295653395</v>
      </c>
      <c r="AK18" s="5">
        <f t="shared" si="23"/>
        <v>153.20646724522996</v>
      </c>
    </row>
    <row r="19" spans="2:146" x14ac:dyDescent="0.3">
      <c r="B19" t="s">
        <v>30</v>
      </c>
      <c r="G19" s="5">
        <f t="shared" ref="G19:O19" si="24">SUM(G14:G18)</f>
        <v>-8.0000000000000018</v>
      </c>
      <c r="H19" s="5">
        <f t="shared" si="24"/>
        <v>0.39999999999999947</v>
      </c>
      <c r="I19" s="5">
        <f t="shared" si="24"/>
        <v>-2.6999999999999993</v>
      </c>
      <c r="J19" s="5">
        <f t="shared" si="24"/>
        <v>5.6</v>
      </c>
      <c r="K19" s="5">
        <f t="shared" si="24"/>
        <v>-8.5000000000000018</v>
      </c>
      <c r="L19" s="5">
        <f t="shared" si="24"/>
        <v>6.5</v>
      </c>
      <c r="M19" s="5">
        <f t="shared" si="24"/>
        <v>288.7</v>
      </c>
      <c r="N19" s="5">
        <f t="shared" si="24"/>
        <v>-38.100000000000009</v>
      </c>
      <c r="O19" s="5">
        <f t="shared" si="24"/>
        <v>13.999999999999998</v>
      </c>
      <c r="P19" s="5">
        <f t="shared" ref="P19:R19" si="25">SUM(P14:P18)</f>
        <v>22.5</v>
      </c>
      <c r="Q19" s="5">
        <f t="shared" si="25"/>
        <v>16.86</v>
      </c>
      <c r="R19" s="5">
        <f t="shared" si="25"/>
        <v>12.18</v>
      </c>
      <c r="Y19" s="5">
        <f>SUM(Y14:Y18)</f>
        <v>-4.7000000000000028</v>
      </c>
      <c r="Z19" s="5">
        <f>SUM(Z14:Z18)</f>
        <v>248.60000000000002</v>
      </c>
      <c r="AA19" s="5">
        <f>SUM(AA14:AA18)</f>
        <v>65.540000000000006</v>
      </c>
      <c r="AB19" s="5">
        <f>SUM(AB14:AB18)</f>
        <v>68.74199999999999</v>
      </c>
      <c r="AC19" s="5">
        <f t="shared" ref="AC19:AK19" si="26">SUM(AC14:AC18)</f>
        <v>69.830699999999993</v>
      </c>
      <c r="AD19" s="5">
        <f t="shared" si="26"/>
        <v>70.903382999999991</v>
      </c>
      <c r="AE19" s="5">
        <f t="shared" si="26"/>
        <v>71.95713459000001</v>
      </c>
      <c r="AF19" s="5">
        <f t="shared" si="26"/>
        <v>72.988831232700008</v>
      </c>
      <c r="AG19" s="5">
        <f t="shared" si="26"/>
        <v>73.995127904931024</v>
      </c>
      <c r="AH19" s="5">
        <f t="shared" si="26"/>
        <v>74.97244506409146</v>
      </c>
      <c r="AI19" s="5">
        <f t="shared" si="26"/>
        <v>75.916954904127337</v>
      </c>
      <c r="AJ19" s="5">
        <f t="shared" si="26"/>
        <v>76.824566863769931</v>
      </c>
      <c r="AK19" s="5">
        <f t="shared" si="26"/>
        <v>77.690912347827734</v>
      </c>
    </row>
    <row r="20" spans="2:146" s="1" customFormat="1" x14ac:dyDescent="0.3">
      <c r="B20" s="1" t="s">
        <v>25</v>
      </c>
      <c r="G20" s="8">
        <f t="shared" ref="G20:O20" si="27">G13-G19</f>
        <v>16.799999999999983</v>
      </c>
      <c r="H20" s="8">
        <f t="shared" si="27"/>
        <v>33.499999999999979</v>
      </c>
      <c r="I20" s="8">
        <f t="shared" si="27"/>
        <v>47.399999999999963</v>
      </c>
      <c r="J20" s="8">
        <f t="shared" si="27"/>
        <v>21.799999999999976</v>
      </c>
      <c r="K20" s="8">
        <f t="shared" si="27"/>
        <v>29.899999999999949</v>
      </c>
      <c r="L20" s="8">
        <f t="shared" si="27"/>
        <v>52.69999999999996</v>
      </c>
      <c r="M20" s="8">
        <f t="shared" si="27"/>
        <v>-208.29999999999993</v>
      </c>
      <c r="N20" s="8">
        <f t="shared" si="27"/>
        <v>124.10000000000007</v>
      </c>
      <c r="O20" s="8">
        <f t="shared" si="27"/>
        <v>11.400000000000007</v>
      </c>
      <c r="P20" s="8">
        <f t="shared" ref="P20:R20" si="28">P13-P19</f>
        <v>51.787600000000026</v>
      </c>
      <c r="Q20" s="8">
        <f t="shared" si="28"/>
        <v>80.476759999999999</v>
      </c>
      <c r="R20" s="8">
        <f t="shared" si="28"/>
        <v>73.226600000000019</v>
      </c>
      <c r="Y20" s="8">
        <f>Y13-Y19</f>
        <v>119.49999999999984</v>
      </c>
      <c r="Z20" s="8">
        <f>Z13-Z19</f>
        <v>-1.5999999999996817</v>
      </c>
      <c r="AA20" s="8">
        <f>AA13-AA19</f>
        <v>216.89096000000001</v>
      </c>
      <c r="AB20" s="8">
        <f>AB13-AB19</f>
        <v>535.23387360000038</v>
      </c>
      <c r="AC20" s="8">
        <f t="shared" ref="AC20:AK20" si="29">AC13-AC19</f>
        <v>646.19589967200022</v>
      </c>
      <c r="AD20" s="8">
        <f t="shared" si="29"/>
        <v>729.12413248859991</v>
      </c>
      <c r="AE20" s="8">
        <f t="shared" si="29"/>
        <v>810.19905078446402</v>
      </c>
      <c r="AF20" s="8">
        <f t="shared" si="29"/>
        <v>887.26343604730778</v>
      </c>
      <c r="AG20" s="8">
        <f t="shared" si="29"/>
        <v>977.33308843195596</v>
      </c>
      <c r="AH20" s="8">
        <f t="shared" si="29"/>
        <v>1017.1654214228183</v>
      </c>
      <c r="AI20" s="8">
        <f t="shared" si="29"/>
        <v>1058.4402473105051</v>
      </c>
      <c r="AJ20" s="8">
        <f t="shared" si="29"/>
        <v>1101.2076551450789</v>
      </c>
      <c r="AK20" s="8">
        <f t="shared" si="29"/>
        <v>1145.5194661236196</v>
      </c>
    </row>
    <row r="21" spans="2:146" x14ac:dyDescent="0.3">
      <c r="B21" t="s">
        <v>26</v>
      </c>
      <c r="G21" s="5">
        <v>-3.6</v>
      </c>
      <c r="H21" s="5">
        <v>-3.3</v>
      </c>
      <c r="I21" s="5">
        <v>0.9</v>
      </c>
      <c r="J21" s="5">
        <v>2.6</v>
      </c>
      <c r="K21" s="5">
        <v>1.4</v>
      </c>
      <c r="L21" s="5">
        <v>-1.8</v>
      </c>
      <c r="M21" s="5">
        <v>-280.5</v>
      </c>
      <c r="N21" s="5">
        <v>15.2</v>
      </c>
      <c r="O21" s="5">
        <v>-8.1</v>
      </c>
      <c r="P21" s="5">
        <f t="shared" ref="P21:R21" si="30">P20*0.15</f>
        <v>7.7681400000000034</v>
      </c>
      <c r="Q21" s="5">
        <f t="shared" si="30"/>
        <v>12.071513999999999</v>
      </c>
      <c r="R21" s="5">
        <f t="shared" si="30"/>
        <v>10.983990000000002</v>
      </c>
      <c r="Y21" s="5">
        <f>SUM(G21:J21)</f>
        <v>-3.4</v>
      </c>
      <c r="Z21" s="5">
        <f>SUM(K21:N21)</f>
        <v>-265.7</v>
      </c>
      <c r="AA21" s="5">
        <f>SUM(O21:R21)</f>
        <v>22.723644000000004</v>
      </c>
      <c r="AB21" s="5">
        <f>AB20*0.15</f>
        <v>80.285081040000051</v>
      </c>
      <c r="AC21" s="5">
        <f t="shared" ref="AC21:AK21" si="31">AC20*0.15</f>
        <v>96.929384950800028</v>
      </c>
      <c r="AD21" s="5">
        <f t="shared" si="31"/>
        <v>109.36861987328999</v>
      </c>
      <c r="AE21" s="5">
        <f t="shared" si="31"/>
        <v>121.52985761766959</v>
      </c>
      <c r="AF21" s="5">
        <f t="shared" si="31"/>
        <v>133.08951540709617</v>
      </c>
      <c r="AG21" s="5">
        <f t="shared" si="31"/>
        <v>146.59996326479339</v>
      </c>
      <c r="AH21" s="5">
        <f t="shared" si="31"/>
        <v>152.57481321342274</v>
      </c>
      <c r="AI21" s="5">
        <f t="shared" si="31"/>
        <v>158.76603709657576</v>
      </c>
      <c r="AJ21" s="5">
        <f t="shared" si="31"/>
        <v>165.18114827176183</v>
      </c>
      <c r="AK21" s="5">
        <f t="shared" si="31"/>
        <v>171.82791991854293</v>
      </c>
    </row>
    <row r="22" spans="2:146" x14ac:dyDescent="0.3">
      <c r="B22" t="s">
        <v>27</v>
      </c>
      <c r="G22" s="5">
        <v>5.6</v>
      </c>
      <c r="H22" s="5">
        <v>11.7</v>
      </c>
      <c r="I22" s="5">
        <v>13.9</v>
      </c>
      <c r="J22" s="5">
        <v>5.5</v>
      </c>
      <c r="K22" s="5">
        <v>7.9</v>
      </c>
      <c r="L22" s="5">
        <v>15.3</v>
      </c>
      <c r="M22" s="5">
        <v>18.399999999999999</v>
      </c>
      <c r="N22" s="5">
        <v>23.3</v>
      </c>
      <c r="O22" s="5">
        <v>2.8</v>
      </c>
      <c r="P22" s="5">
        <f t="shared" ref="P22:R22" si="32">P20*0.2</f>
        <v>10.357520000000006</v>
      </c>
      <c r="Q22" s="5">
        <f t="shared" si="32"/>
        <v>16.095352000000002</v>
      </c>
      <c r="R22" s="5">
        <f t="shared" si="32"/>
        <v>14.645320000000005</v>
      </c>
      <c r="Y22" s="5">
        <f>SUM(G22:J22)</f>
        <v>36.699999999999996</v>
      </c>
      <c r="Z22" s="5">
        <f>SUM(K22:N22)</f>
        <v>64.900000000000006</v>
      </c>
      <c r="AA22" s="5">
        <f>SUM(O22:R22)</f>
        <v>43.898192000000009</v>
      </c>
      <c r="AB22" s="5">
        <f>AB20*0.18</f>
        <v>96.342097248000059</v>
      </c>
      <c r="AC22" s="5">
        <f t="shared" ref="AC22:AK22" si="33">AC20*0.18</f>
        <v>116.31526194096004</v>
      </c>
      <c r="AD22" s="5">
        <f t="shared" si="33"/>
        <v>131.24234384794798</v>
      </c>
      <c r="AE22" s="5">
        <f t="shared" si="33"/>
        <v>145.8358291412035</v>
      </c>
      <c r="AF22" s="5">
        <f t="shared" si="33"/>
        <v>159.7074184885154</v>
      </c>
      <c r="AG22" s="5">
        <f t="shared" si="33"/>
        <v>175.91995591775208</v>
      </c>
      <c r="AH22" s="5">
        <f t="shared" si="33"/>
        <v>183.08977585610728</v>
      </c>
      <c r="AI22" s="5">
        <f t="shared" si="33"/>
        <v>190.5192445158909</v>
      </c>
      <c r="AJ22" s="5">
        <f t="shared" si="33"/>
        <v>198.21737792611418</v>
      </c>
      <c r="AK22" s="5">
        <f t="shared" si="33"/>
        <v>206.19350390225154</v>
      </c>
    </row>
    <row r="23" spans="2:146" s="1" customFormat="1" x14ac:dyDescent="0.3">
      <c r="B23" s="1" t="s">
        <v>28</v>
      </c>
      <c r="G23" s="8">
        <f t="shared" ref="G23:O23" si="34">G20-G21-G22</f>
        <v>14.799999999999985</v>
      </c>
      <c r="H23" s="8">
        <f t="shared" si="34"/>
        <v>25.099999999999977</v>
      </c>
      <c r="I23" s="8">
        <f t="shared" si="34"/>
        <v>32.599999999999966</v>
      </c>
      <c r="J23" s="8">
        <f t="shared" si="34"/>
        <v>13.699999999999974</v>
      </c>
      <c r="K23" s="8">
        <f t="shared" si="34"/>
        <v>20.599999999999952</v>
      </c>
      <c r="L23" s="8">
        <f t="shared" si="34"/>
        <v>39.19999999999996</v>
      </c>
      <c r="M23" s="8">
        <f t="shared" si="34"/>
        <v>53.800000000000075</v>
      </c>
      <c r="N23" s="8">
        <f t="shared" si="34"/>
        <v>85.600000000000065</v>
      </c>
      <c r="O23" s="8">
        <f t="shared" si="34"/>
        <v>16.700000000000006</v>
      </c>
      <c r="P23" s="8">
        <f t="shared" ref="P23:R23" si="35">P20-P21-P22</f>
        <v>33.661940000000016</v>
      </c>
      <c r="Q23" s="8">
        <f t="shared" si="35"/>
        <v>52.309894</v>
      </c>
      <c r="R23" s="8">
        <f t="shared" si="35"/>
        <v>47.597290000000008</v>
      </c>
      <c r="Y23" s="8">
        <f>Y20-Y21-Y22</f>
        <v>86.199999999999847</v>
      </c>
      <c r="Z23" s="8">
        <f>Z20-Z21-Z22</f>
        <v>199.2000000000003</v>
      </c>
      <c r="AA23" s="8">
        <f>AA20-AA21-AA22</f>
        <v>150.26912399999998</v>
      </c>
      <c r="AB23" s="8">
        <f>AB20-AB21-AB22</f>
        <v>358.60669531200028</v>
      </c>
      <c r="AC23" s="8">
        <f t="shared" ref="AC23:AK23" si="36">AC20-AC21-AC22</f>
        <v>432.95125278024017</v>
      </c>
      <c r="AD23" s="8">
        <f t="shared" si="36"/>
        <v>488.513168767362</v>
      </c>
      <c r="AE23" s="8">
        <f t="shared" si="36"/>
        <v>542.83336402559098</v>
      </c>
      <c r="AF23" s="8">
        <f t="shared" si="36"/>
        <v>594.4665021516962</v>
      </c>
      <c r="AG23" s="8">
        <f t="shared" si="36"/>
        <v>654.81316924941052</v>
      </c>
      <c r="AH23" s="8">
        <f t="shared" si="36"/>
        <v>681.50083235328827</v>
      </c>
      <c r="AI23" s="8">
        <f t="shared" si="36"/>
        <v>709.1549656980385</v>
      </c>
      <c r="AJ23" s="8">
        <f t="shared" si="36"/>
        <v>737.80912894720291</v>
      </c>
      <c r="AK23" s="8">
        <f t="shared" si="36"/>
        <v>767.49804230282518</v>
      </c>
      <c r="AL23" s="1">
        <f>AK23*(1+$AO$29)</f>
        <v>759.82306187979691</v>
      </c>
      <c r="AM23" s="1">
        <f t="shared" ref="AM23:CX23" si="37">AL23*(1+$AO$29)</f>
        <v>752.22483126099894</v>
      </c>
      <c r="AN23" s="1">
        <f t="shared" si="37"/>
        <v>744.70258294838891</v>
      </c>
      <c r="AO23" s="1">
        <f t="shared" si="37"/>
        <v>737.25555711890502</v>
      </c>
      <c r="AP23" s="1">
        <f t="shared" si="37"/>
        <v>729.88300154771593</v>
      </c>
      <c r="AQ23" s="1">
        <f t="shared" si="37"/>
        <v>722.58417153223877</v>
      </c>
      <c r="AR23" s="1">
        <f t="shared" si="37"/>
        <v>715.35832981691635</v>
      </c>
      <c r="AS23" s="1">
        <f t="shared" si="37"/>
        <v>708.20474651874713</v>
      </c>
      <c r="AT23" s="1">
        <f t="shared" si="37"/>
        <v>701.1226990535597</v>
      </c>
      <c r="AU23" s="1">
        <f t="shared" si="37"/>
        <v>694.11147206302405</v>
      </c>
      <c r="AV23" s="1">
        <f t="shared" si="37"/>
        <v>687.1703573423938</v>
      </c>
      <c r="AW23" s="1">
        <f t="shared" si="37"/>
        <v>680.29865376896987</v>
      </c>
      <c r="AX23" s="1">
        <f t="shared" si="37"/>
        <v>673.49566723128021</v>
      </c>
      <c r="AY23" s="1">
        <f t="shared" si="37"/>
        <v>666.76071055896739</v>
      </c>
      <c r="AZ23" s="1">
        <f t="shared" si="37"/>
        <v>660.09310345337769</v>
      </c>
      <c r="BA23" s="1">
        <f t="shared" si="37"/>
        <v>653.49217241884389</v>
      </c>
      <c r="BB23" s="1">
        <f t="shared" si="37"/>
        <v>646.9572506946555</v>
      </c>
      <c r="BC23" s="1">
        <f t="shared" si="37"/>
        <v>640.48767818770898</v>
      </c>
      <c r="BD23" s="1">
        <f t="shared" si="37"/>
        <v>634.0828014058319</v>
      </c>
      <c r="BE23" s="1">
        <f t="shared" si="37"/>
        <v>627.74197339177363</v>
      </c>
      <c r="BF23" s="1">
        <f t="shared" si="37"/>
        <v>621.46455365785584</v>
      </c>
      <c r="BG23" s="1">
        <f t="shared" si="37"/>
        <v>615.24990812127726</v>
      </c>
      <c r="BH23" s="1">
        <f t="shared" si="37"/>
        <v>609.09740904006446</v>
      </c>
      <c r="BI23" s="1">
        <f t="shared" si="37"/>
        <v>603.0064349496638</v>
      </c>
      <c r="BJ23" s="1">
        <f t="shared" si="37"/>
        <v>596.97637060016712</v>
      </c>
      <c r="BK23" s="1">
        <f t="shared" si="37"/>
        <v>591.00660689416543</v>
      </c>
      <c r="BL23" s="1">
        <f t="shared" si="37"/>
        <v>585.09654082522377</v>
      </c>
      <c r="BM23" s="1">
        <f t="shared" si="37"/>
        <v>579.24557541697152</v>
      </c>
      <c r="BN23" s="1">
        <f t="shared" si="37"/>
        <v>573.45311966280178</v>
      </c>
      <c r="BO23" s="1">
        <f t="shared" si="37"/>
        <v>567.71858846617374</v>
      </c>
      <c r="BP23" s="1">
        <f t="shared" si="37"/>
        <v>562.04140258151199</v>
      </c>
      <c r="BQ23" s="1">
        <f t="shared" si="37"/>
        <v>556.42098855569691</v>
      </c>
      <c r="BR23" s="1">
        <f t="shared" si="37"/>
        <v>550.85677867013999</v>
      </c>
      <c r="BS23" s="1">
        <f t="shared" si="37"/>
        <v>545.34821088343858</v>
      </c>
      <c r="BT23" s="1">
        <f t="shared" si="37"/>
        <v>539.89472877460423</v>
      </c>
      <c r="BU23" s="1">
        <f t="shared" si="37"/>
        <v>534.49578148685816</v>
      </c>
      <c r="BV23" s="1">
        <f t="shared" si="37"/>
        <v>529.15082367198954</v>
      </c>
      <c r="BW23" s="1">
        <f t="shared" si="37"/>
        <v>523.85931543526965</v>
      </c>
      <c r="BX23" s="1">
        <f t="shared" si="37"/>
        <v>518.62072228091699</v>
      </c>
      <c r="BY23" s="1">
        <f t="shared" si="37"/>
        <v>513.43451505810776</v>
      </c>
      <c r="BZ23" s="1">
        <f t="shared" si="37"/>
        <v>508.30016990752671</v>
      </c>
      <c r="CA23" s="1">
        <f t="shared" si="37"/>
        <v>503.21716820845143</v>
      </c>
      <c r="CB23" s="1">
        <f t="shared" si="37"/>
        <v>498.18499652636689</v>
      </c>
      <c r="CC23" s="1">
        <f t="shared" si="37"/>
        <v>493.20314656110321</v>
      </c>
      <c r="CD23" s="1">
        <f t="shared" si="37"/>
        <v>488.27111509549218</v>
      </c>
      <c r="CE23" s="1">
        <f t="shared" si="37"/>
        <v>483.38840394453723</v>
      </c>
      <c r="CF23" s="1">
        <f t="shared" si="37"/>
        <v>478.55451990509187</v>
      </c>
      <c r="CG23" s="1">
        <f t="shared" si="37"/>
        <v>473.76897470604092</v>
      </c>
      <c r="CH23" s="1">
        <f t="shared" si="37"/>
        <v>469.03128495898051</v>
      </c>
      <c r="CI23" s="1">
        <f t="shared" si="37"/>
        <v>464.34097210939069</v>
      </c>
      <c r="CJ23" s="1">
        <f t="shared" si="37"/>
        <v>459.69756238829677</v>
      </c>
      <c r="CK23" s="1">
        <f t="shared" si="37"/>
        <v>455.10058676441378</v>
      </c>
      <c r="CL23" s="1">
        <f t="shared" si="37"/>
        <v>450.54958089676961</v>
      </c>
      <c r="CM23" s="1">
        <f t="shared" si="37"/>
        <v>446.04408508780193</v>
      </c>
      <c r="CN23" s="1">
        <f t="shared" si="37"/>
        <v>441.58364423692393</v>
      </c>
      <c r="CO23" s="1">
        <f t="shared" si="37"/>
        <v>437.16780779455468</v>
      </c>
      <c r="CP23" s="1">
        <f t="shared" si="37"/>
        <v>432.79612971660913</v>
      </c>
      <c r="CQ23" s="1">
        <f t="shared" si="37"/>
        <v>428.46816841944303</v>
      </c>
      <c r="CR23" s="1">
        <f t="shared" si="37"/>
        <v>424.18348673524861</v>
      </c>
      <c r="CS23" s="1">
        <f t="shared" si="37"/>
        <v>419.9416518678961</v>
      </c>
      <c r="CT23" s="1">
        <f t="shared" si="37"/>
        <v>415.74223534921714</v>
      </c>
      <c r="CU23" s="1">
        <f t="shared" si="37"/>
        <v>411.58481299572497</v>
      </c>
      <c r="CV23" s="1">
        <f t="shared" si="37"/>
        <v>407.4689648657677</v>
      </c>
      <c r="CW23" s="1">
        <f t="shared" si="37"/>
        <v>403.39427521711002</v>
      </c>
      <c r="CX23" s="1">
        <f t="shared" si="37"/>
        <v>399.36033246493889</v>
      </c>
      <c r="CY23" s="1">
        <f t="shared" ref="CY23:EP23" si="38">CX23*(1+$AO$29)</f>
        <v>395.36672914028952</v>
      </c>
      <c r="CZ23" s="1">
        <f t="shared" si="38"/>
        <v>391.41306184888663</v>
      </c>
      <c r="DA23" s="1">
        <f t="shared" si="38"/>
        <v>387.49893123039777</v>
      </c>
      <c r="DB23" s="1">
        <f t="shared" si="38"/>
        <v>383.62394191809381</v>
      </c>
      <c r="DC23" s="1">
        <f t="shared" si="38"/>
        <v>379.78770249891284</v>
      </c>
      <c r="DD23" s="1">
        <f t="shared" si="38"/>
        <v>375.9898254739237</v>
      </c>
      <c r="DE23" s="1">
        <f t="shared" si="38"/>
        <v>372.22992721918445</v>
      </c>
      <c r="DF23" s="1">
        <f t="shared" si="38"/>
        <v>368.50762794699261</v>
      </c>
      <c r="DG23" s="1">
        <f t="shared" si="38"/>
        <v>364.8225516675227</v>
      </c>
      <c r="DH23" s="1">
        <f t="shared" si="38"/>
        <v>361.17432615084749</v>
      </c>
      <c r="DI23" s="1">
        <f t="shared" si="38"/>
        <v>357.56258288933901</v>
      </c>
      <c r="DJ23" s="1">
        <f t="shared" si="38"/>
        <v>353.9869570604456</v>
      </c>
      <c r="DK23" s="1">
        <f t="shared" si="38"/>
        <v>350.44708748984112</v>
      </c>
      <c r="DL23" s="1">
        <f t="shared" si="38"/>
        <v>346.94261661494272</v>
      </c>
      <c r="DM23" s="1">
        <f t="shared" si="38"/>
        <v>343.47319044879328</v>
      </c>
      <c r="DN23" s="1">
        <f t="shared" si="38"/>
        <v>340.03845854430534</v>
      </c>
      <c r="DO23" s="1">
        <f t="shared" si="38"/>
        <v>336.63807395886226</v>
      </c>
      <c r="DP23" s="1">
        <f t="shared" si="38"/>
        <v>333.27169321927363</v>
      </c>
      <c r="DQ23" s="1">
        <f t="shared" si="38"/>
        <v>329.93897628708089</v>
      </c>
      <c r="DR23" s="1">
        <f t="shared" si="38"/>
        <v>326.63958652421007</v>
      </c>
      <c r="DS23" s="1">
        <f t="shared" si="38"/>
        <v>323.37319065896799</v>
      </c>
      <c r="DT23" s="1">
        <f t="shared" si="38"/>
        <v>320.13945875237829</v>
      </c>
      <c r="DU23" s="1">
        <f t="shared" si="38"/>
        <v>316.9380641648545</v>
      </c>
      <c r="DV23" s="1">
        <f t="shared" si="38"/>
        <v>313.76868352320594</v>
      </c>
      <c r="DW23" s="1">
        <f t="shared" si="38"/>
        <v>310.63099668797389</v>
      </c>
      <c r="DX23" s="1">
        <f t="shared" si="38"/>
        <v>307.52468672109416</v>
      </c>
      <c r="DY23" s="1">
        <f t="shared" si="38"/>
        <v>304.44943985388323</v>
      </c>
      <c r="DZ23" s="1">
        <f t="shared" si="38"/>
        <v>301.40494545534438</v>
      </c>
      <c r="EA23" s="1">
        <f t="shared" si="38"/>
        <v>298.39089600079092</v>
      </c>
      <c r="EB23" s="1">
        <f t="shared" si="38"/>
        <v>295.40698704078301</v>
      </c>
      <c r="EC23" s="1">
        <f t="shared" si="38"/>
        <v>292.4529171703752</v>
      </c>
      <c r="ED23" s="1">
        <f t="shared" si="38"/>
        <v>289.52838799867146</v>
      </c>
      <c r="EE23" s="1">
        <f t="shared" si="38"/>
        <v>286.63310411868474</v>
      </c>
      <c r="EF23" s="1">
        <f t="shared" si="38"/>
        <v>283.76677307749787</v>
      </c>
      <c r="EG23" s="1">
        <f t="shared" si="38"/>
        <v>280.92910534672291</v>
      </c>
      <c r="EH23" s="1">
        <f t="shared" si="38"/>
        <v>278.11981429325567</v>
      </c>
      <c r="EI23" s="1">
        <f t="shared" si="38"/>
        <v>275.33861615032311</v>
      </c>
      <c r="EJ23" s="1">
        <f t="shared" si="38"/>
        <v>272.58522998881989</v>
      </c>
      <c r="EK23" s="1">
        <f t="shared" si="38"/>
        <v>269.85937768893172</v>
      </c>
      <c r="EL23" s="1">
        <f t="shared" si="38"/>
        <v>267.1607839120424</v>
      </c>
      <c r="EM23" s="1">
        <f t="shared" si="38"/>
        <v>264.48917607292196</v>
      </c>
      <c r="EN23" s="1">
        <f t="shared" si="38"/>
        <v>261.84428431219277</v>
      </c>
      <c r="EO23" s="1">
        <f t="shared" si="38"/>
        <v>259.22584146907082</v>
      </c>
      <c r="EP23" s="1">
        <f t="shared" si="38"/>
        <v>256.6335830543801</v>
      </c>
    </row>
    <row r="24" spans="2:146" x14ac:dyDescent="0.3">
      <c r="B24" t="s">
        <v>2</v>
      </c>
      <c r="G24" s="5">
        <f t="shared" ref="G24:O24" si="39">67.8+19.8+1.5</f>
        <v>89.1</v>
      </c>
      <c r="H24" s="5">
        <f t="shared" si="39"/>
        <v>89.1</v>
      </c>
      <c r="I24" s="5">
        <f t="shared" si="39"/>
        <v>89.1</v>
      </c>
      <c r="J24" s="5">
        <f t="shared" si="39"/>
        <v>89.1</v>
      </c>
      <c r="K24" s="5">
        <f t="shared" si="39"/>
        <v>89.1</v>
      </c>
      <c r="L24" s="5">
        <f t="shared" si="39"/>
        <v>89.1</v>
      </c>
      <c r="M24" s="5">
        <f t="shared" si="39"/>
        <v>89.1</v>
      </c>
      <c r="N24" s="5">
        <f t="shared" si="39"/>
        <v>89.1</v>
      </c>
      <c r="O24" s="5">
        <f t="shared" si="39"/>
        <v>89.1</v>
      </c>
      <c r="P24" s="5">
        <f t="shared" ref="P24:R24" si="40">67.8+19.8+1.5</f>
        <v>89.1</v>
      </c>
      <c r="Q24" s="5">
        <f t="shared" si="40"/>
        <v>89.1</v>
      </c>
      <c r="R24" s="5">
        <f t="shared" si="40"/>
        <v>89.1</v>
      </c>
      <c r="Y24" s="5">
        <f>67.8+19.8+1.5</f>
        <v>89.1</v>
      </c>
      <c r="Z24" s="5">
        <f>67.8+19.8+1.5</f>
        <v>89.1</v>
      </c>
      <c r="AA24" s="5">
        <f>67.8+19.8+1.5</f>
        <v>89.1</v>
      </c>
      <c r="AB24" s="5">
        <f>67.8+19.8+1.5</f>
        <v>89.1</v>
      </c>
      <c r="AC24" s="5">
        <f t="shared" ref="AC24:AK24" si="41">67.8+19.8+1.5</f>
        <v>89.1</v>
      </c>
      <c r="AD24" s="5">
        <f t="shared" si="41"/>
        <v>89.1</v>
      </c>
      <c r="AE24" s="5">
        <f t="shared" si="41"/>
        <v>89.1</v>
      </c>
      <c r="AF24" s="5">
        <f t="shared" si="41"/>
        <v>89.1</v>
      </c>
      <c r="AG24" s="5">
        <f t="shared" si="41"/>
        <v>89.1</v>
      </c>
      <c r="AH24" s="5">
        <f t="shared" si="41"/>
        <v>89.1</v>
      </c>
      <c r="AI24" s="5">
        <f t="shared" si="41"/>
        <v>89.1</v>
      </c>
      <c r="AJ24" s="5">
        <f t="shared" si="41"/>
        <v>89.1</v>
      </c>
      <c r="AK24" s="5">
        <f t="shared" si="41"/>
        <v>89.1</v>
      </c>
    </row>
    <row r="25" spans="2:146" x14ac:dyDescent="0.3">
      <c r="B25" t="s">
        <v>29</v>
      </c>
      <c r="G25" s="7">
        <f t="shared" ref="G25:O25" si="42">G23/G24</f>
        <v>0.1661054994388326</v>
      </c>
      <c r="H25" s="7">
        <f t="shared" si="42"/>
        <v>0.28170594837261481</v>
      </c>
      <c r="I25" s="7">
        <f t="shared" si="42"/>
        <v>0.36588103254769888</v>
      </c>
      <c r="J25" s="7">
        <f t="shared" si="42"/>
        <v>0.15375982042648681</v>
      </c>
      <c r="K25" s="7">
        <f t="shared" si="42"/>
        <v>0.23120089786756401</v>
      </c>
      <c r="L25" s="7">
        <f t="shared" si="42"/>
        <v>0.4399551066217729</v>
      </c>
      <c r="M25" s="7">
        <f t="shared" si="42"/>
        <v>0.6038159371492714</v>
      </c>
      <c r="N25" s="7">
        <f t="shared" si="42"/>
        <v>0.96071829405162823</v>
      </c>
      <c r="O25" s="7">
        <f t="shared" si="42"/>
        <v>0.18742985409652085</v>
      </c>
      <c r="P25" s="7">
        <f t="shared" ref="P25:R25" si="43">P23/P24</f>
        <v>0.37779955106621793</v>
      </c>
      <c r="Q25" s="7">
        <f t="shared" si="43"/>
        <v>0.5870919640852974</v>
      </c>
      <c r="R25" s="7">
        <f t="shared" si="43"/>
        <v>0.5342007856341191</v>
      </c>
      <c r="Y25" s="7">
        <f>Y23/Y24</f>
        <v>0.96745230078563249</v>
      </c>
      <c r="Z25" s="7">
        <f>Z23/Z24</f>
        <v>2.2356902356902393</v>
      </c>
      <c r="AA25" s="7">
        <f>AA23/AA24</f>
        <v>1.6865221548821547</v>
      </c>
      <c r="AB25" s="7">
        <f>AB23/AB24</f>
        <v>4.0247665018181848</v>
      </c>
      <c r="AC25" s="7">
        <f t="shared" ref="AC25:AK25" si="44">AC23/AC24</f>
        <v>4.8591610861979824</v>
      </c>
      <c r="AD25" s="7">
        <f t="shared" si="44"/>
        <v>5.48275161355064</v>
      </c>
      <c r="AE25" s="7">
        <f t="shared" si="44"/>
        <v>6.0924058813197641</v>
      </c>
      <c r="AF25" s="7">
        <f t="shared" si="44"/>
        <v>6.6719023810515852</v>
      </c>
      <c r="AG25" s="7">
        <f t="shared" si="44"/>
        <v>7.3491938187363699</v>
      </c>
      <c r="AH25" s="7">
        <f t="shared" si="44"/>
        <v>7.6487186571637293</v>
      </c>
      <c r="AI25" s="7">
        <f t="shared" si="44"/>
        <v>7.9590905241081771</v>
      </c>
      <c r="AJ25" s="7">
        <f t="shared" si="44"/>
        <v>8.2806860712368451</v>
      </c>
      <c r="AK25" s="7">
        <f t="shared" si="44"/>
        <v>8.6138949753403509</v>
      </c>
    </row>
    <row r="27" spans="2:146" x14ac:dyDescent="0.3">
      <c r="B27" t="s">
        <v>49</v>
      </c>
      <c r="G27" s="9"/>
      <c r="H27" s="9"/>
      <c r="I27" s="9"/>
      <c r="J27" s="9"/>
      <c r="K27" s="9">
        <f t="shared" ref="K27:M27" si="45">K3/G3-1</f>
        <v>0.29323583180987201</v>
      </c>
      <c r="L27" s="9">
        <f t="shared" si="45"/>
        <v>0.29827315541601251</v>
      </c>
      <c r="M27" s="9">
        <f t="shared" si="45"/>
        <v>0.34616523541604982</v>
      </c>
      <c r="N27" s="9">
        <f>N3/J3-1</f>
        <v>0.25744258576694068</v>
      </c>
      <c r="O27" s="9">
        <f t="shared" ref="O27:R27" si="46">O3/K3-1</f>
        <v>0.19918009612666099</v>
      </c>
      <c r="P27" s="9">
        <f t="shared" si="46"/>
        <v>0.14999999999999991</v>
      </c>
      <c r="Q27" s="9">
        <f t="shared" si="46"/>
        <v>0.14999999999999991</v>
      </c>
      <c r="R27" s="9">
        <f t="shared" si="46"/>
        <v>0.14999999999999991</v>
      </c>
      <c r="Y27" s="9"/>
      <c r="Z27" s="9">
        <f>Z3/Y3-1</f>
        <v>0.29858078602620086</v>
      </c>
      <c r="AA27" s="9">
        <f t="shared" ref="AA27:AK27" si="47">AA3/Z3-1</f>
        <v>0.16044556536359789</v>
      </c>
      <c r="AB27" s="9">
        <f t="shared" si="47"/>
        <v>0.1100000000000001</v>
      </c>
      <c r="AC27" s="9">
        <f t="shared" si="47"/>
        <v>7.0000000000000062E-2</v>
      </c>
      <c r="AD27" s="9">
        <f t="shared" si="47"/>
        <v>5.0000000000000044E-2</v>
      </c>
      <c r="AE27" s="9">
        <f t="shared" si="47"/>
        <v>4.0000000000000036E-2</v>
      </c>
      <c r="AF27" s="9">
        <f t="shared" si="47"/>
        <v>3.0000000000000027E-2</v>
      </c>
      <c r="AG27" s="9">
        <f t="shared" si="47"/>
        <v>3.0000000000000027E-2</v>
      </c>
      <c r="AH27" s="9">
        <f t="shared" si="47"/>
        <v>3.0000000000000027E-2</v>
      </c>
      <c r="AI27" s="9">
        <f t="shared" si="47"/>
        <v>3.0000000000000027E-2</v>
      </c>
      <c r="AJ27" s="9">
        <f t="shared" si="47"/>
        <v>3.0000000000000027E-2</v>
      </c>
      <c r="AK27" s="9">
        <f t="shared" si="47"/>
        <v>3.0000000000000027E-2</v>
      </c>
    </row>
    <row r="28" spans="2:146" x14ac:dyDescent="0.3">
      <c r="B28" t="s">
        <v>50</v>
      </c>
      <c r="G28" s="9">
        <f t="shared" ref="G28:M28" si="48">G5/G3</f>
        <v>0.26581352833638022</v>
      </c>
      <c r="H28" s="9">
        <f t="shared" si="48"/>
        <v>0.26200941915227627</v>
      </c>
      <c r="I28" s="9">
        <f t="shared" si="48"/>
        <v>0.26695291679005029</v>
      </c>
      <c r="J28" s="9">
        <f t="shared" si="48"/>
        <v>0.27672242699177768</v>
      </c>
      <c r="K28" s="9">
        <f t="shared" si="48"/>
        <v>0.26547921967769289</v>
      </c>
      <c r="L28" s="9">
        <f t="shared" si="48"/>
        <v>0.28029020556227324</v>
      </c>
      <c r="M28" s="9">
        <f t="shared" si="48"/>
        <v>0.29399472063352405</v>
      </c>
      <c r="N28" s="9">
        <f>N5/N3</f>
        <v>0.32266065388951526</v>
      </c>
      <c r="O28" s="9">
        <f t="shared" ref="O28:R28" si="49">O5/O3</f>
        <v>0.30295885889425911</v>
      </c>
      <c r="P28" s="9">
        <f t="shared" si="49"/>
        <v>0.32</v>
      </c>
      <c r="Q28" s="9">
        <f t="shared" si="49"/>
        <v>0.33</v>
      </c>
      <c r="R28" s="9">
        <f t="shared" si="49"/>
        <v>0.34</v>
      </c>
      <c r="Y28" s="9">
        <f>Y5/Y3</f>
        <v>0.26816905801621954</v>
      </c>
      <c r="Z28" s="9">
        <f>Z5/Z3</f>
        <v>0.29216957905482505</v>
      </c>
      <c r="AA28" s="9">
        <f t="shared" ref="AA28:AK28" si="50">AA5/AA3</f>
        <v>0.32424343722347854</v>
      </c>
      <c r="AB28" s="9">
        <f t="shared" si="50"/>
        <v>0.34</v>
      </c>
      <c r="AC28" s="9">
        <f t="shared" si="50"/>
        <v>0.36</v>
      </c>
      <c r="AD28" s="9">
        <f t="shared" si="50"/>
        <v>0.37</v>
      </c>
      <c r="AE28" s="9">
        <f t="shared" si="50"/>
        <v>0.38</v>
      </c>
      <c r="AF28" s="9">
        <f t="shared" si="50"/>
        <v>0.39</v>
      </c>
      <c r="AG28" s="9">
        <f t="shared" si="50"/>
        <v>0.4</v>
      </c>
      <c r="AH28" s="9">
        <f t="shared" si="50"/>
        <v>0.39999999999999997</v>
      </c>
      <c r="AI28" s="9">
        <f t="shared" si="50"/>
        <v>0.4</v>
      </c>
      <c r="AJ28" s="9">
        <f t="shared" si="50"/>
        <v>0.39999999999999997</v>
      </c>
      <c r="AK28" s="9">
        <f t="shared" si="50"/>
        <v>0.4</v>
      </c>
    </row>
    <row r="29" spans="2:146" x14ac:dyDescent="0.3">
      <c r="B29" t="s">
        <v>51</v>
      </c>
      <c r="G29" s="9"/>
      <c r="H29" s="9"/>
      <c r="I29" s="9"/>
      <c r="J29" s="9"/>
      <c r="K29" s="9">
        <f t="shared" ref="K29:M29" si="51">K6/G6-1</f>
        <v>0.24970828471411899</v>
      </c>
      <c r="L29" s="9">
        <f t="shared" si="51"/>
        <v>0.34104750304506704</v>
      </c>
      <c r="M29" s="9">
        <f t="shared" si="51"/>
        <v>0.54914809960681521</v>
      </c>
      <c r="N29" s="9">
        <f>N6/J6-1</f>
        <v>0.45657276995305152</v>
      </c>
      <c r="O29" s="9">
        <f t="shared" ref="O29:R29" si="52">O6/K6-1</f>
        <v>0.43790849673202614</v>
      </c>
      <c r="P29" s="9">
        <f t="shared" si="52"/>
        <v>0.30000000000000004</v>
      </c>
      <c r="Q29" s="9">
        <f t="shared" si="52"/>
        <v>0.30000000000000004</v>
      </c>
      <c r="R29" s="9">
        <f t="shared" si="52"/>
        <v>0.29999999999999982</v>
      </c>
      <c r="Y29" s="9"/>
      <c r="Z29" s="9">
        <f>Z6/Y6-1</f>
        <v>0.39538414819313683</v>
      </c>
      <c r="AA29" s="9">
        <f t="shared" ref="AA29:AK29" si="53">AA6/Z6-1</f>
        <v>0.33214363438520111</v>
      </c>
      <c r="AB29" s="9">
        <f t="shared" si="53"/>
        <v>0.19999999999999996</v>
      </c>
      <c r="AC29" s="9">
        <f t="shared" si="53"/>
        <v>0.10000000000000009</v>
      </c>
      <c r="AD29" s="9">
        <f t="shared" si="53"/>
        <v>5.0000000000000044E-2</v>
      </c>
      <c r="AE29" s="9">
        <f t="shared" si="53"/>
        <v>4.0000000000000036E-2</v>
      </c>
      <c r="AF29" s="9">
        <f t="shared" si="53"/>
        <v>3.0000000000000027E-2</v>
      </c>
      <c r="AG29" s="9">
        <f t="shared" si="53"/>
        <v>2.0000000000000018E-2</v>
      </c>
      <c r="AH29" s="9">
        <f t="shared" si="53"/>
        <v>2.0000000000000018E-2</v>
      </c>
      <c r="AI29" s="9">
        <f t="shared" si="53"/>
        <v>2.0000000000000018E-2</v>
      </c>
      <c r="AJ29" s="9">
        <f t="shared" si="53"/>
        <v>2.0000000000000018E-2</v>
      </c>
      <c r="AK29" s="9">
        <f t="shared" si="53"/>
        <v>2.0000000000000018E-2</v>
      </c>
      <c r="AN29" t="s">
        <v>56</v>
      </c>
      <c r="AO29" s="9">
        <v>-0.01</v>
      </c>
    </row>
    <row r="30" spans="2:146" x14ac:dyDescent="0.3">
      <c r="B30" t="s">
        <v>52</v>
      </c>
      <c r="G30" s="9">
        <f t="shared" ref="G30:M30" si="54">G9/G3</f>
        <v>1.1151736745886653E-2</v>
      </c>
      <c r="H30" s="9">
        <f t="shared" si="54"/>
        <v>8.4772370486656205E-3</v>
      </c>
      <c r="I30" s="9">
        <f t="shared" si="54"/>
        <v>8.4394432928634883E-3</v>
      </c>
      <c r="J30" s="9">
        <f t="shared" si="54"/>
        <v>2.2540402608449108E-2</v>
      </c>
      <c r="K30" s="9">
        <f t="shared" si="54"/>
        <v>1.1309018942606729E-2</v>
      </c>
      <c r="L30" s="9">
        <f t="shared" si="54"/>
        <v>1.4026602176541716E-2</v>
      </c>
      <c r="M30" s="9">
        <f t="shared" si="54"/>
        <v>1.0338759348878134E-2</v>
      </c>
      <c r="N30" s="9">
        <f>N9/N3</f>
        <v>1.3979706877113867E-2</v>
      </c>
      <c r="O30" s="9">
        <f t="shared" ref="O30:R30" si="55">O9/O3</f>
        <v>2.1926205351880234E-2</v>
      </c>
      <c r="P30" s="9">
        <f t="shared" si="55"/>
        <v>1.9557331370590403E-2</v>
      </c>
      <c r="Q30" s="9">
        <f t="shared" si="55"/>
        <v>1.7789169647468392E-2</v>
      </c>
      <c r="R30" s="9">
        <f t="shared" si="55"/>
        <v>1.8234400274496351E-2</v>
      </c>
      <c r="Y30" s="9">
        <f>Y9/Y3</f>
        <v>1.290548970679975E-2</v>
      </c>
      <c r="Z30" s="9">
        <f>Z9/Z3</f>
        <v>1.2430192758061608E-2</v>
      </c>
      <c r="AA30" s="9">
        <f t="shared" ref="AA30:AK30" si="56">AA9/AA3</f>
        <v>1.9249776195478376E-2</v>
      </c>
      <c r="AB30" s="9">
        <f t="shared" si="56"/>
        <v>0.02</v>
      </c>
      <c r="AC30" s="9">
        <f t="shared" si="56"/>
        <v>0.02</v>
      </c>
      <c r="AD30" s="9">
        <f t="shared" si="56"/>
        <v>0.02</v>
      </c>
      <c r="AE30" s="9">
        <f t="shared" si="56"/>
        <v>0.02</v>
      </c>
      <c r="AF30" s="9">
        <f t="shared" si="56"/>
        <v>0.02</v>
      </c>
      <c r="AG30" s="9">
        <f t="shared" si="56"/>
        <v>0.02</v>
      </c>
      <c r="AH30" s="9">
        <f t="shared" si="56"/>
        <v>0.02</v>
      </c>
      <c r="AI30" s="9">
        <f t="shared" si="56"/>
        <v>0.02</v>
      </c>
      <c r="AJ30" s="9">
        <f t="shared" si="56"/>
        <v>0.02</v>
      </c>
      <c r="AK30" s="9">
        <f t="shared" si="56"/>
        <v>0.02</v>
      </c>
      <c r="AN30" t="s">
        <v>57</v>
      </c>
      <c r="AO30" s="9">
        <v>0.09</v>
      </c>
    </row>
    <row r="31" spans="2:146" x14ac:dyDescent="0.3">
      <c r="B31" t="s">
        <v>53</v>
      </c>
      <c r="G31" s="9">
        <f t="shared" ref="G31:M31" si="57">G10/G3</f>
        <v>4.570383912248629E-3</v>
      </c>
      <c r="H31" s="9">
        <f t="shared" si="57"/>
        <v>6.2794348508634227E-3</v>
      </c>
      <c r="I31" s="9">
        <f t="shared" si="57"/>
        <v>6.9588392063962105E-3</v>
      </c>
      <c r="J31" s="9">
        <f t="shared" si="57"/>
        <v>5.5287779982988372E-3</v>
      </c>
      <c r="K31" s="9">
        <f t="shared" si="57"/>
        <v>6.2199604184337018E-3</v>
      </c>
      <c r="L31" s="9">
        <f t="shared" si="57"/>
        <v>4.7158403869407492E-3</v>
      </c>
      <c r="M31" s="9">
        <f t="shared" si="57"/>
        <v>6.8191816981962167E-3</v>
      </c>
      <c r="N31" s="9">
        <f>N10/N3</f>
        <v>8.1172491544532141E-3</v>
      </c>
      <c r="O31" s="9">
        <f t="shared" ref="O31:R31" si="58">O10/O3</f>
        <v>7.8981492396557832E-3</v>
      </c>
      <c r="P31" s="9">
        <f t="shared" si="58"/>
        <v>8.0000000000000002E-3</v>
      </c>
      <c r="Q31" s="9">
        <f t="shared" si="58"/>
        <v>8.0000000000000002E-3</v>
      </c>
      <c r="R31" s="9">
        <f t="shared" si="58"/>
        <v>8.0000000000000002E-3</v>
      </c>
      <c r="Y31" s="9">
        <f>Y10/Y3</f>
        <v>5.8873986275732992E-3</v>
      </c>
      <c r="Z31" s="9">
        <f>Z10/Z3</f>
        <v>6.5153425809163501E-3</v>
      </c>
      <c r="AA31" s="9">
        <f t="shared" ref="AA31:AK31" si="59">AA10/AA3</f>
        <v>7.9776454211923486E-3</v>
      </c>
      <c r="AB31" s="9">
        <f t="shared" si="59"/>
        <v>8.0000000000000002E-3</v>
      </c>
      <c r="AC31" s="9">
        <f t="shared" si="59"/>
        <v>8.0000000000000002E-3</v>
      </c>
      <c r="AD31" s="9">
        <f t="shared" si="59"/>
        <v>8.0000000000000002E-3</v>
      </c>
      <c r="AE31" s="9">
        <f t="shared" si="59"/>
        <v>8.0000000000000002E-3</v>
      </c>
      <c r="AF31" s="9">
        <f t="shared" si="59"/>
        <v>8.0000000000000002E-3</v>
      </c>
      <c r="AG31" s="9">
        <f t="shared" si="59"/>
        <v>8.0000000000000002E-3</v>
      </c>
      <c r="AH31" s="9">
        <f t="shared" si="59"/>
        <v>8.0000000000000002E-3</v>
      </c>
      <c r="AI31" s="9">
        <f t="shared" si="59"/>
        <v>8.0000000000000002E-3</v>
      </c>
      <c r="AJ31" s="9">
        <f t="shared" si="59"/>
        <v>8.0000000000000002E-3</v>
      </c>
      <c r="AK31" s="9">
        <f t="shared" si="59"/>
        <v>8.0000000000000002E-3</v>
      </c>
      <c r="AN31" t="s">
        <v>58</v>
      </c>
      <c r="AO31" s="5">
        <f>NPV(AO30,AA23:EP23)</f>
        <v>6407.6652977204085</v>
      </c>
    </row>
    <row r="32" spans="2:146" x14ac:dyDescent="0.3">
      <c r="B32" t="s">
        <v>54</v>
      </c>
      <c r="G32" s="9">
        <f t="shared" ref="G32:M32" si="60">G13/G3</f>
        <v>1.6087751371115143E-2</v>
      </c>
      <c r="H32" s="9">
        <f t="shared" si="60"/>
        <v>5.3218210361067469E-2</v>
      </c>
      <c r="I32" s="9">
        <f t="shared" si="60"/>
        <v>6.6183002665087295E-2</v>
      </c>
      <c r="J32" s="9">
        <f t="shared" si="60"/>
        <v>3.8843209526509749E-2</v>
      </c>
      <c r="K32" s="9">
        <f t="shared" si="60"/>
        <v>3.025162567147293E-2</v>
      </c>
      <c r="L32" s="9">
        <f t="shared" si="60"/>
        <v>7.1584038694074925E-2</v>
      </c>
      <c r="M32" s="9">
        <f t="shared" si="60"/>
        <v>8.8429388473383261E-2</v>
      </c>
      <c r="N32" s="9">
        <f>N13/N3</f>
        <v>9.6956031567080103E-2</v>
      </c>
      <c r="O32" s="9">
        <f t="shared" ref="O32:R32" si="61">O13/O3</f>
        <v>2.9942237416008495E-2</v>
      </c>
      <c r="P32" s="9">
        <f t="shared" si="61"/>
        <v>7.8111140318595271E-2</v>
      </c>
      <c r="Q32" s="9">
        <f t="shared" si="61"/>
        <v>9.309355572983416E-2</v>
      </c>
      <c r="R32" s="9">
        <f t="shared" si="61"/>
        <v>8.372785647762368E-2</v>
      </c>
      <c r="Y32" s="9">
        <f>Y13/Y3</f>
        <v>4.4759825327510855E-2</v>
      </c>
      <c r="Z32" s="9">
        <f>Z13/Z3</f>
        <v>7.4160811865729995E-2</v>
      </c>
      <c r="AA32" s="9">
        <f t="shared" ref="AA32:AK32" si="62">AA13/AA3</f>
        <v>7.3074365197232607E-2</v>
      </c>
      <c r="AB32" s="9">
        <f t="shared" si="62"/>
        <v>0.14078272297622468</v>
      </c>
      <c r="AC32" s="9">
        <f t="shared" si="62"/>
        <v>0.1559822385736889</v>
      </c>
      <c r="AD32" s="9">
        <f t="shared" si="62"/>
        <v>0.16598223857368882</v>
      </c>
      <c r="AE32" s="9">
        <f t="shared" si="62"/>
        <v>0.17598223857368886</v>
      </c>
      <c r="AF32" s="9">
        <f t="shared" si="62"/>
        <v>0.1859822385736889</v>
      </c>
      <c r="AG32" s="9">
        <f t="shared" si="62"/>
        <v>0.19769114887879871</v>
      </c>
      <c r="AH32" s="9">
        <f t="shared" si="62"/>
        <v>0.19938346782172292</v>
      </c>
      <c r="AI32" s="9">
        <f t="shared" si="62"/>
        <v>0.20105935648364798</v>
      </c>
      <c r="AJ32" s="9">
        <f t="shared" si="62"/>
        <v>0.20271897438186498</v>
      </c>
      <c r="AK32" s="9">
        <f t="shared" si="62"/>
        <v>0.20436247948495367</v>
      </c>
      <c r="AN32" t="s">
        <v>59</v>
      </c>
      <c r="AO32" s="5">
        <f>Main!D8</f>
        <v>-1676.2</v>
      </c>
    </row>
    <row r="33" spans="2:41" x14ac:dyDescent="0.3">
      <c r="B33" t="s">
        <v>26</v>
      </c>
      <c r="G33" s="9">
        <f t="shared" ref="G33:M33" si="63">G21/G20</f>
        <v>-0.2142857142857145</v>
      </c>
      <c r="H33" s="9">
        <f t="shared" si="63"/>
        <v>-9.8507462686567224E-2</v>
      </c>
      <c r="I33" s="9">
        <f t="shared" si="63"/>
        <v>1.8987341772151913E-2</v>
      </c>
      <c r="J33" s="9">
        <f t="shared" si="63"/>
        <v>0.11926605504587169</v>
      </c>
      <c r="K33" s="9">
        <f t="shared" si="63"/>
        <v>4.6822742474916468E-2</v>
      </c>
      <c r="L33" s="9">
        <f t="shared" si="63"/>
        <v>-3.4155597722960181E-2</v>
      </c>
      <c r="M33" s="9">
        <f t="shared" si="63"/>
        <v>1.3466154584733563</v>
      </c>
      <c r="N33" s="9">
        <f>N21/N20</f>
        <v>0.12248186946011275</v>
      </c>
      <c r="O33" s="9">
        <f t="shared" ref="O33:R33" si="64">O21/O20</f>
        <v>-0.71052631578947323</v>
      </c>
      <c r="P33" s="9">
        <f t="shared" si="64"/>
        <v>0.15</v>
      </c>
      <c r="Q33" s="9">
        <f t="shared" si="64"/>
        <v>0.15</v>
      </c>
      <c r="R33" s="9">
        <f t="shared" si="64"/>
        <v>0.15</v>
      </c>
      <c r="Y33" s="9">
        <f>Y21/Y20</f>
        <v>-2.845188284518832E-2</v>
      </c>
      <c r="Z33" s="9">
        <f>Z21/Z20</f>
        <v>166.06250000003303</v>
      </c>
      <c r="AA33" s="9">
        <f t="shared" ref="AA33:AK33" si="65">AA21/AA20</f>
        <v>0.10476989912350429</v>
      </c>
      <c r="AB33" s="9">
        <f t="shared" si="65"/>
        <v>0.15</v>
      </c>
      <c r="AC33" s="9">
        <f t="shared" si="65"/>
        <v>0.15</v>
      </c>
      <c r="AD33" s="9">
        <f t="shared" si="65"/>
        <v>0.15</v>
      </c>
      <c r="AE33" s="9">
        <f t="shared" si="65"/>
        <v>0.15</v>
      </c>
      <c r="AF33" s="9">
        <f t="shared" si="65"/>
        <v>0.15</v>
      </c>
      <c r="AG33" s="9">
        <f t="shared" si="65"/>
        <v>0.15</v>
      </c>
      <c r="AH33" s="9">
        <f t="shared" si="65"/>
        <v>0.15</v>
      </c>
      <c r="AI33" s="9">
        <f t="shared" si="65"/>
        <v>0.15</v>
      </c>
      <c r="AJ33" s="9">
        <f t="shared" si="65"/>
        <v>0.15</v>
      </c>
      <c r="AK33" s="9">
        <f t="shared" si="65"/>
        <v>0.15</v>
      </c>
      <c r="AN33" t="s">
        <v>60</v>
      </c>
      <c r="AO33" s="5">
        <f>AO31+AO32</f>
        <v>4731.4652977204087</v>
      </c>
    </row>
    <row r="34" spans="2:41" x14ac:dyDescent="0.3">
      <c r="B34" t="s">
        <v>27</v>
      </c>
      <c r="G34" s="9">
        <f t="shared" ref="G34:M34" si="66">G22/G20</f>
        <v>0.33333333333333365</v>
      </c>
      <c r="H34" s="9">
        <f t="shared" si="66"/>
        <v>0.3492537313432838</v>
      </c>
      <c r="I34" s="9">
        <f t="shared" si="66"/>
        <v>0.29324894514767957</v>
      </c>
      <c r="J34" s="9">
        <f t="shared" si="66"/>
        <v>0.25229357798165164</v>
      </c>
      <c r="K34" s="9">
        <f t="shared" si="66"/>
        <v>0.26421404682274297</v>
      </c>
      <c r="L34" s="9">
        <f t="shared" si="66"/>
        <v>0.29032258064516153</v>
      </c>
      <c r="M34" s="9">
        <f t="shared" si="66"/>
        <v>-8.8334133461353839E-2</v>
      </c>
      <c r="N34" s="9">
        <f>N22/N20</f>
        <v>0.18775181305398864</v>
      </c>
      <c r="O34" s="9">
        <f t="shared" ref="O34:R34" si="67">O22/O20</f>
        <v>0.24561403508771912</v>
      </c>
      <c r="P34" s="9">
        <f t="shared" si="67"/>
        <v>0.2</v>
      </c>
      <c r="Q34" s="9">
        <f t="shared" si="67"/>
        <v>0.20000000000000004</v>
      </c>
      <c r="R34" s="9">
        <f t="shared" si="67"/>
        <v>0.2</v>
      </c>
      <c r="Y34" s="9">
        <f>Y22/Y20</f>
        <v>0.30711297071129745</v>
      </c>
      <c r="Z34" s="9">
        <f>Z22/Z20</f>
        <v>-40.562500000008072</v>
      </c>
      <c r="AA34" s="9">
        <f t="shared" ref="AA34:AK34" si="68">AA22/AA20</f>
        <v>0.20239751808927403</v>
      </c>
      <c r="AB34" s="9">
        <f t="shared" si="68"/>
        <v>0.18</v>
      </c>
      <c r="AC34" s="9">
        <f t="shared" si="68"/>
        <v>0.18</v>
      </c>
      <c r="AD34" s="9">
        <f t="shared" si="68"/>
        <v>0.18</v>
      </c>
      <c r="AE34" s="9">
        <f t="shared" si="68"/>
        <v>0.17999999999999997</v>
      </c>
      <c r="AF34" s="9">
        <f t="shared" si="68"/>
        <v>0.18</v>
      </c>
      <c r="AG34" s="9">
        <f t="shared" si="68"/>
        <v>0.18</v>
      </c>
      <c r="AH34" s="9">
        <f t="shared" si="68"/>
        <v>0.18</v>
      </c>
      <c r="AI34" s="9">
        <f t="shared" si="68"/>
        <v>0.18</v>
      </c>
      <c r="AJ34" s="9">
        <f t="shared" si="68"/>
        <v>0.18</v>
      </c>
      <c r="AK34" s="9">
        <f t="shared" si="68"/>
        <v>0.18</v>
      </c>
      <c r="AN34" t="s">
        <v>61</v>
      </c>
      <c r="AO34" s="4">
        <f>AO33/AK24</f>
        <v>53.102865294280683</v>
      </c>
    </row>
    <row r="35" spans="2:41" x14ac:dyDescent="0.3">
      <c r="B35" t="s">
        <v>55</v>
      </c>
      <c r="G35" s="9">
        <f t="shared" ref="G35:M35" si="69">G23/G3</f>
        <v>2.7056672760511855E-2</v>
      </c>
      <c r="H35" s="9">
        <f t="shared" si="69"/>
        <v>3.9403453689167936E-2</v>
      </c>
      <c r="I35" s="9">
        <f t="shared" si="69"/>
        <v>4.8267693218833237E-2</v>
      </c>
      <c r="J35" s="9">
        <f t="shared" si="69"/>
        <v>1.9421604763254854E-2</v>
      </c>
      <c r="K35" s="9">
        <f t="shared" si="69"/>
        <v>2.9120723777212261E-2</v>
      </c>
      <c r="L35" s="9">
        <f t="shared" si="69"/>
        <v>4.740024183796851E-2</v>
      </c>
      <c r="M35" s="9">
        <f t="shared" si="69"/>
        <v>5.9172899252089829E-2</v>
      </c>
      <c r="N35" s="9">
        <f>N23/N3</f>
        <v>9.6505073280721609E-2</v>
      </c>
      <c r="O35" s="9">
        <f t="shared" ref="O35:R35" si="70">O23/O3</f>
        <v>1.9686431686903226E-2</v>
      </c>
      <c r="P35" s="9">
        <f t="shared" si="70"/>
        <v>3.5394500814888825E-2</v>
      </c>
      <c r="Q35" s="9">
        <f t="shared" si="70"/>
        <v>5.0029547236940267E-2</v>
      </c>
      <c r="R35" s="9">
        <f t="shared" si="70"/>
        <v>4.6661722464585081E-2</v>
      </c>
      <c r="Y35" s="9">
        <f>Y23/Y3</f>
        <v>3.3608858390517714E-2</v>
      </c>
      <c r="Z35" s="9">
        <f>Z23/Z3</f>
        <v>5.9809043415600879E-2</v>
      </c>
      <c r="AA35" s="9">
        <f t="shared" ref="AA35:AK35" si="71">AA23/AA3</f>
        <v>3.8879664060357359E-2</v>
      </c>
      <c r="AB35" s="9">
        <f t="shared" si="71"/>
        <v>8.3588814140222178E-2</v>
      </c>
      <c r="AC35" s="9">
        <f t="shared" si="71"/>
        <v>9.431591735960719E-2</v>
      </c>
      <c r="AD35" s="9">
        <f t="shared" si="71"/>
        <v>0.10135215071348183</v>
      </c>
      <c r="AE35" s="9">
        <f t="shared" si="71"/>
        <v>0.10829038231269533</v>
      </c>
      <c r="AF35" s="9">
        <f t="shared" si="71"/>
        <v>0.11513663085682041</v>
      </c>
      <c r="AG35" s="9">
        <f t="shared" si="71"/>
        <v>0.1231306890829249</v>
      </c>
      <c r="AH35" s="9">
        <f t="shared" si="71"/>
        <v>0.12441652601523259</v>
      </c>
      <c r="AI35" s="9">
        <f t="shared" si="71"/>
        <v>0.12569430579015534</v>
      </c>
      <c r="AJ35" s="9">
        <f t="shared" si="71"/>
        <v>0.1269641925877904</v>
      </c>
      <c r="AK35" s="9">
        <f t="shared" si="71"/>
        <v>0.12822635066328816</v>
      </c>
      <c r="AN35" t="s">
        <v>62</v>
      </c>
      <c r="AO35" s="4">
        <f>Main!D3</f>
        <v>82.36</v>
      </c>
    </row>
    <row r="36" spans="2:41" x14ac:dyDescent="0.3">
      <c r="AN36" s="1" t="s">
        <v>63</v>
      </c>
      <c r="AO36" s="10">
        <f>AO34/AO35-1</f>
        <v>-0.35523475844729624</v>
      </c>
    </row>
    <row r="37" spans="2:41" x14ac:dyDescent="0.3">
      <c r="AN37" t="s">
        <v>64</v>
      </c>
      <c r="AO37" s="6" t="s">
        <v>65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2025-04-09T08:45:43Z</dcterms:created>
  <dcterms:modified xsi:type="dcterms:W3CDTF">2025-05-04T11:41:28Z</dcterms:modified>
</cp:coreProperties>
</file>