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CE36DDED-5113-4A32-BFE8-FA61FFA55245}" xr6:coauthVersionLast="47" xr6:coauthVersionMax="47" xr10:uidLastSave="{00000000-0000-0000-0000-000000000000}"/>
  <bookViews>
    <workbookView xWindow="-108" yWindow="-108" windowWidth="23256" windowHeight="12576" activeTab="1" xr2:uid="{1AB2C153-F3A3-43B3-970A-67C6BEA1AC7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7" i="2" l="1"/>
  <c r="AI3" i="2"/>
  <c r="AH3" i="2"/>
  <c r="AG3" i="2"/>
  <c r="AQ25" i="2"/>
  <c r="AQ22" i="2"/>
  <c r="AN15" i="2"/>
  <c r="AM15" i="2"/>
  <c r="AL15" i="2"/>
  <c r="AK15" i="2"/>
  <c r="AJ15" i="2"/>
  <c r="AI15" i="2"/>
  <c r="AH15" i="2"/>
  <c r="AG15" i="2"/>
  <c r="AF15" i="2"/>
  <c r="AE15" i="2"/>
  <c r="AE11" i="2"/>
  <c r="AF11" i="2" s="1"/>
  <c r="AG11" i="2" s="1"/>
  <c r="AH11" i="2" s="1"/>
  <c r="AI11" i="2" s="1"/>
  <c r="AJ11" i="2" s="1"/>
  <c r="AK11" i="2" s="1"/>
  <c r="AL11" i="2" s="1"/>
  <c r="AM11" i="2" s="1"/>
  <c r="AN11" i="2" s="1"/>
  <c r="AD15" i="2"/>
  <c r="AD11" i="2"/>
  <c r="AD9" i="2"/>
  <c r="AD10" i="2" s="1"/>
  <c r="AD12" i="2" s="1"/>
  <c r="AE7" i="2"/>
  <c r="AF7" i="2" s="1"/>
  <c r="AF9" i="2" s="1"/>
  <c r="AF10" i="2" s="1"/>
  <c r="AF3" i="2"/>
  <c r="AE3" i="2"/>
  <c r="AE18" i="2" s="1"/>
  <c r="AD3" i="2"/>
  <c r="AG6" i="2"/>
  <c r="AH6" i="2" s="1"/>
  <c r="AI6" i="2" s="1"/>
  <c r="AJ6" i="2" s="1"/>
  <c r="AK6" i="2" s="1"/>
  <c r="AL6" i="2" s="1"/>
  <c r="AM6" i="2" s="1"/>
  <c r="AN6" i="2" s="1"/>
  <c r="AF6" i="2"/>
  <c r="AE6" i="2"/>
  <c r="AD6" i="2"/>
  <c r="AD18" i="2"/>
  <c r="AD5" i="2"/>
  <c r="AD4" i="2" s="1"/>
  <c r="R24" i="2"/>
  <c r="R23" i="2"/>
  <c r="R22" i="2"/>
  <c r="R21" i="2"/>
  <c r="R20" i="2"/>
  <c r="R19" i="2"/>
  <c r="R18" i="2"/>
  <c r="N24" i="2"/>
  <c r="N23" i="2"/>
  <c r="N22" i="2"/>
  <c r="N19" i="2"/>
  <c r="N15" i="2"/>
  <c r="N9" i="2"/>
  <c r="N5" i="2"/>
  <c r="R15" i="2"/>
  <c r="R9" i="2"/>
  <c r="R5" i="2"/>
  <c r="M24" i="2"/>
  <c r="M23" i="2"/>
  <c r="M22" i="2"/>
  <c r="M19" i="2"/>
  <c r="Q21" i="2"/>
  <c r="Q20" i="2"/>
  <c r="Q18" i="2"/>
  <c r="Q24" i="2"/>
  <c r="Q23" i="2"/>
  <c r="Q22" i="2"/>
  <c r="Q19" i="2"/>
  <c r="M15" i="2"/>
  <c r="M9" i="2"/>
  <c r="M5" i="2"/>
  <c r="Q15" i="2"/>
  <c r="Q9" i="2"/>
  <c r="Q5" i="2"/>
  <c r="AA24" i="2"/>
  <c r="Z24" i="2"/>
  <c r="Y24" i="2"/>
  <c r="X24" i="2"/>
  <c r="AA23" i="2"/>
  <c r="Z23" i="2"/>
  <c r="Y23" i="2"/>
  <c r="X23" i="2"/>
  <c r="AA22" i="2"/>
  <c r="Z22" i="2"/>
  <c r="Y22" i="2"/>
  <c r="X22" i="2"/>
  <c r="AA21" i="2"/>
  <c r="Z21" i="2"/>
  <c r="Y21" i="2"/>
  <c r="AA20" i="2"/>
  <c r="Z20" i="2"/>
  <c r="Y20" i="2"/>
  <c r="AA19" i="2"/>
  <c r="Z19" i="2"/>
  <c r="Y19" i="2"/>
  <c r="X19" i="2"/>
  <c r="AA18" i="2"/>
  <c r="Z18" i="2"/>
  <c r="Y18" i="2"/>
  <c r="X15" i="2"/>
  <c r="X9" i="2"/>
  <c r="X5" i="2"/>
  <c r="Y15" i="2"/>
  <c r="Y9" i="2"/>
  <c r="Y5" i="2"/>
  <c r="Z15" i="2"/>
  <c r="Z9" i="2"/>
  <c r="Z5" i="2"/>
  <c r="AB24" i="2"/>
  <c r="AB23" i="2"/>
  <c r="AB22" i="2"/>
  <c r="AB21" i="2"/>
  <c r="AB20" i="2"/>
  <c r="AB19" i="2"/>
  <c r="AB18" i="2"/>
  <c r="AC24" i="2"/>
  <c r="AC23" i="2"/>
  <c r="AC22" i="2"/>
  <c r="AC21" i="2"/>
  <c r="AC20" i="2"/>
  <c r="AC19" i="2"/>
  <c r="AC18" i="2"/>
  <c r="AA15" i="2"/>
  <c r="AA9" i="2"/>
  <c r="AA5" i="2"/>
  <c r="AB15" i="2"/>
  <c r="AB9" i="2"/>
  <c r="AB5" i="2"/>
  <c r="AC16" i="2"/>
  <c r="AC15" i="2"/>
  <c r="AC14" i="2"/>
  <c r="AC9" i="2"/>
  <c r="AC5" i="2"/>
  <c r="AC10" i="2" s="1"/>
  <c r="AC12" i="2" s="1"/>
  <c r="D9" i="1"/>
  <c r="D8" i="1"/>
  <c r="D7" i="1"/>
  <c r="D6" i="1"/>
  <c r="D5" i="1"/>
  <c r="D4" i="1"/>
  <c r="F3" i="1"/>
  <c r="AE9" i="2" l="1"/>
  <c r="AE10" i="2" s="1"/>
  <c r="AE12" i="2" s="1"/>
  <c r="AE23" i="2" s="1"/>
  <c r="AE14" i="2"/>
  <c r="AE16" i="2" s="1"/>
  <c r="AD23" i="2"/>
  <c r="AD14" i="2"/>
  <c r="AD24" i="2" s="1"/>
  <c r="AF12" i="2"/>
  <c r="AF21" i="2"/>
  <c r="AG7" i="2"/>
  <c r="AG9" i="2" s="1"/>
  <c r="AE21" i="2"/>
  <c r="AD21" i="2"/>
  <c r="AE5" i="2"/>
  <c r="AD19" i="2"/>
  <c r="AD22" i="2"/>
  <c r="AE22" i="2"/>
  <c r="AE24" i="2"/>
  <c r="AF20" i="2"/>
  <c r="AE20" i="2"/>
  <c r="AD20" i="2"/>
  <c r="N10" i="2"/>
  <c r="N12" i="2" s="1"/>
  <c r="N14" i="2" s="1"/>
  <c r="N16" i="2" s="1"/>
  <c r="R10" i="2"/>
  <c r="R12" i="2" s="1"/>
  <c r="R14" i="2" s="1"/>
  <c r="R16" i="2" s="1"/>
  <c r="M10" i="2"/>
  <c r="M12" i="2" s="1"/>
  <c r="M14" i="2" s="1"/>
  <c r="M16" i="2" s="1"/>
  <c r="Q10" i="2"/>
  <c r="Q12" i="2" s="1"/>
  <c r="Q14" i="2" s="1"/>
  <c r="Q16" i="2" s="1"/>
  <c r="X10" i="2"/>
  <c r="X12" i="2" s="1"/>
  <c r="X14" i="2" s="1"/>
  <c r="X16" i="2" s="1"/>
  <c r="Y10" i="2"/>
  <c r="Y12" i="2" s="1"/>
  <c r="Y14" i="2" s="1"/>
  <c r="Y16" i="2" s="1"/>
  <c r="Z10" i="2"/>
  <c r="Z12" i="2" s="1"/>
  <c r="Z14" i="2" s="1"/>
  <c r="Z16" i="2" s="1"/>
  <c r="AA10" i="2"/>
  <c r="AA12" i="2" s="1"/>
  <c r="AA14" i="2" s="1"/>
  <c r="AA16" i="2" s="1"/>
  <c r="AB10" i="2"/>
  <c r="AB12" i="2" s="1"/>
  <c r="AB14" i="2" s="1"/>
  <c r="AB16" i="2" s="1"/>
  <c r="AF23" i="2" l="1"/>
  <c r="AF14" i="2"/>
  <c r="AF16" i="2" s="1"/>
  <c r="AD16" i="2"/>
  <c r="AG21" i="2"/>
  <c r="AH7" i="2"/>
  <c r="AH9" i="2" s="1"/>
  <c r="AF18" i="2"/>
  <c r="AF22" i="2"/>
  <c r="AF5" i="2"/>
  <c r="AF19" i="2" s="1"/>
  <c r="AF4" i="2"/>
  <c r="AE4" i="2"/>
  <c r="AE19" i="2"/>
  <c r="AF24" i="2" l="1"/>
  <c r="AH21" i="2"/>
  <c r="AI7" i="2"/>
  <c r="AI9" i="2" s="1"/>
  <c r="AG5" i="2"/>
  <c r="AG10" i="2" s="1"/>
  <c r="AG12" i="2" s="1"/>
  <c r="AG22" i="2"/>
  <c r="AG18" i="2"/>
  <c r="AG20" i="2"/>
  <c r="AH20" i="2"/>
  <c r="AG14" i="2" l="1"/>
  <c r="AG23" i="2"/>
  <c r="AI21" i="2"/>
  <c r="AJ7" i="2"/>
  <c r="AJ9" i="2" s="1"/>
  <c r="AH5" i="2"/>
  <c r="AH18" i="2"/>
  <c r="AG4" i="2"/>
  <c r="AG19" i="2"/>
  <c r="AI20" i="2"/>
  <c r="AG16" i="2" l="1"/>
  <c r="AG24" i="2"/>
  <c r="AH19" i="2"/>
  <c r="AH10" i="2"/>
  <c r="AJ21" i="2"/>
  <c r="AK7" i="2"/>
  <c r="AK9" i="2" s="1"/>
  <c r="AI5" i="2"/>
  <c r="AI10" i="2" s="1"/>
  <c r="AI12" i="2" s="1"/>
  <c r="AJ3" i="2"/>
  <c r="AI18" i="2"/>
  <c r="AH4" i="2"/>
  <c r="AJ20" i="2"/>
  <c r="AI22" i="2" l="1"/>
  <c r="AH12" i="2"/>
  <c r="AH22" i="2"/>
  <c r="AI14" i="2"/>
  <c r="AI23" i="2"/>
  <c r="AL7" i="2"/>
  <c r="AL9" i="2" s="1"/>
  <c r="AK21" i="2"/>
  <c r="AK3" i="2"/>
  <c r="AJ5" i="2"/>
  <c r="AJ4" i="2" s="1"/>
  <c r="AJ18" i="2"/>
  <c r="AI4" i="2"/>
  <c r="AI19" i="2"/>
  <c r="AK20" i="2"/>
  <c r="AI16" i="2" l="1"/>
  <c r="AI24" i="2"/>
  <c r="AJ19" i="2"/>
  <c r="AJ10" i="2"/>
  <c r="AH14" i="2"/>
  <c r="AH23" i="2"/>
  <c r="AL21" i="2"/>
  <c r="AM7" i="2"/>
  <c r="AM9" i="2" s="1"/>
  <c r="AL3" i="2"/>
  <c r="AK5" i="2"/>
  <c r="AK4" i="2" s="1"/>
  <c r="AK18" i="2"/>
  <c r="AL20" i="2"/>
  <c r="AH16" i="2" l="1"/>
  <c r="AH24" i="2"/>
  <c r="AJ12" i="2"/>
  <c r="AJ22" i="2"/>
  <c r="AK19" i="2"/>
  <c r="AK10" i="2"/>
  <c r="AM21" i="2"/>
  <c r="AN7" i="2"/>
  <c r="AM3" i="2"/>
  <c r="AL5" i="2"/>
  <c r="AL18" i="2"/>
  <c r="AN20" i="2"/>
  <c r="AM20" i="2"/>
  <c r="AN21" i="2" l="1"/>
  <c r="AN9" i="2"/>
  <c r="AK12" i="2"/>
  <c r="AK22" i="2"/>
  <c r="AJ23" i="2"/>
  <c r="AJ14" i="2"/>
  <c r="AL19" i="2"/>
  <c r="AL10" i="2"/>
  <c r="AL4" i="2"/>
  <c r="AN3" i="2"/>
  <c r="AM18" i="2"/>
  <c r="AM5" i="2"/>
  <c r="AM4" i="2"/>
  <c r="AL12" i="2" l="1"/>
  <c r="AL22" i="2"/>
  <c r="AJ16" i="2"/>
  <c r="AJ24" i="2"/>
  <c r="AM19" i="2"/>
  <c r="AM10" i="2"/>
  <c r="AK23" i="2"/>
  <c r="AK14" i="2"/>
  <c r="AN18" i="2"/>
  <c r="AN5" i="2"/>
  <c r="AM12" i="2" l="1"/>
  <c r="AM22" i="2"/>
  <c r="AN19" i="2"/>
  <c r="AN10" i="2"/>
  <c r="AK16" i="2"/>
  <c r="AK24" i="2"/>
  <c r="AL14" i="2"/>
  <c r="AL23" i="2"/>
  <c r="AN4" i="2"/>
  <c r="AL16" i="2" l="1"/>
  <c r="AL24" i="2"/>
  <c r="AN12" i="2"/>
  <c r="AN22" i="2"/>
  <c r="AM14" i="2"/>
  <c r="AM23" i="2"/>
  <c r="AN23" i="2" l="1"/>
  <c r="AN14" i="2"/>
  <c r="AM16" i="2"/>
  <c r="AM24" i="2"/>
  <c r="AN16" i="2" l="1"/>
  <c r="AO14" i="2"/>
  <c r="AP14" i="2" s="1"/>
  <c r="AQ14" i="2" s="1"/>
  <c r="AR14" i="2" s="1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BJ14" i="2" s="1"/>
  <c r="BK14" i="2" s="1"/>
  <c r="BL14" i="2" s="1"/>
  <c r="BM14" i="2" s="1"/>
  <c r="BN14" i="2" s="1"/>
  <c r="BO14" i="2" s="1"/>
  <c r="BP14" i="2" s="1"/>
  <c r="BQ14" i="2" s="1"/>
  <c r="BR14" i="2" s="1"/>
  <c r="BS14" i="2" s="1"/>
  <c r="BT14" i="2" s="1"/>
  <c r="BU14" i="2" s="1"/>
  <c r="BV14" i="2" s="1"/>
  <c r="BW14" i="2" s="1"/>
  <c r="BX14" i="2" s="1"/>
  <c r="BY14" i="2" s="1"/>
  <c r="BZ14" i="2" s="1"/>
  <c r="CA14" i="2" s="1"/>
  <c r="CB14" i="2" s="1"/>
  <c r="CC14" i="2" s="1"/>
  <c r="CD14" i="2" s="1"/>
  <c r="CE14" i="2" s="1"/>
  <c r="CF14" i="2" s="1"/>
  <c r="CG14" i="2" s="1"/>
  <c r="CH14" i="2" s="1"/>
  <c r="CI14" i="2" s="1"/>
  <c r="CJ14" i="2" s="1"/>
  <c r="CK14" i="2" s="1"/>
  <c r="CL14" i="2" s="1"/>
  <c r="CM14" i="2" s="1"/>
  <c r="CN14" i="2" s="1"/>
  <c r="CO14" i="2" s="1"/>
  <c r="CP14" i="2" s="1"/>
  <c r="CQ14" i="2" s="1"/>
  <c r="CR14" i="2" s="1"/>
  <c r="CS14" i="2" s="1"/>
  <c r="CT14" i="2" s="1"/>
  <c r="CU14" i="2" s="1"/>
  <c r="CV14" i="2" s="1"/>
  <c r="CW14" i="2" s="1"/>
  <c r="CX14" i="2" s="1"/>
  <c r="CY14" i="2" s="1"/>
  <c r="CZ14" i="2" s="1"/>
  <c r="DA14" i="2" s="1"/>
  <c r="DB14" i="2" s="1"/>
  <c r="DC14" i="2" s="1"/>
  <c r="DD14" i="2" s="1"/>
  <c r="DE14" i="2" s="1"/>
  <c r="DF14" i="2" s="1"/>
  <c r="DG14" i="2" s="1"/>
  <c r="DH14" i="2" s="1"/>
  <c r="DI14" i="2" s="1"/>
  <c r="DJ14" i="2" s="1"/>
  <c r="DK14" i="2" s="1"/>
  <c r="DL14" i="2" s="1"/>
  <c r="DM14" i="2" s="1"/>
  <c r="DN14" i="2" s="1"/>
  <c r="DO14" i="2" s="1"/>
  <c r="DP14" i="2" s="1"/>
  <c r="DQ14" i="2" s="1"/>
  <c r="DR14" i="2" s="1"/>
  <c r="DS14" i="2" s="1"/>
  <c r="DT14" i="2" s="1"/>
  <c r="DU14" i="2" s="1"/>
  <c r="DV14" i="2" s="1"/>
  <c r="DW14" i="2" s="1"/>
  <c r="DX14" i="2" s="1"/>
  <c r="DY14" i="2" s="1"/>
  <c r="DZ14" i="2" s="1"/>
  <c r="EA14" i="2" s="1"/>
  <c r="EB14" i="2" s="1"/>
  <c r="EC14" i="2" s="1"/>
  <c r="ED14" i="2" s="1"/>
  <c r="EE14" i="2" s="1"/>
  <c r="EF14" i="2" s="1"/>
  <c r="AQ21" i="2" s="1"/>
  <c r="AQ23" i="2" s="1"/>
  <c r="AQ24" i="2" s="1"/>
  <c r="AQ26" i="2" s="1"/>
  <c r="AN24" i="2"/>
</calcChain>
</file>

<file path=xl/sharedStrings.xml><?xml version="1.0" encoding="utf-8"?>
<sst xmlns="http://schemas.openxmlformats.org/spreadsheetml/2006/main" count="65" uniqueCount="60">
  <si>
    <t>LCID</t>
  </si>
  <si>
    <t>Price</t>
  </si>
  <si>
    <t>Shares</t>
  </si>
  <si>
    <t>MC</t>
  </si>
  <si>
    <t>Cash</t>
  </si>
  <si>
    <t>Debt</t>
  </si>
  <si>
    <t>Net Cash</t>
  </si>
  <si>
    <t>EV</t>
  </si>
  <si>
    <t>Last checked</t>
  </si>
  <si>
    <t>Today</t>
  </si>
  <si>
    <t>Earnings</t>
  </si>
  <si>
    <t>Q424</t>
  </si>
  <si>
    <t>Revenue</t>
  </si>
  <si>
    <t>Cost of sales</t>
  </si>
  <si>
    <t>Gross profit</t>
  </si>
  <si>
    <t>R&amp;D</t>
  </si>
  <si>
    <t>SG&amp;A</t>
  </si>
  <si>
    <t>Restructuring</t>
  </si>
  <si>
    <t>Total operating expense</t>
  </si>
  <si>
    <t>Operating profit</t>
  </si>
  <si>
    <t>Other income</t>
  </si>
  <si>
    <t>Pretax profit</t>
  </si>
  <si>
    <t>Taxes</t>
  </si>
  <si>
    <t>Net profit</t>
  </si>
  <si>
    <t>EPS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</si>
  <si>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</si>
  <si>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</si>
  <si>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</si>
  <si>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</si>
  <si>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</si>
  <si>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</si>
  <si>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</si>
  <si>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</si>
  <si>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</si>
  <si>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</si>
  <si>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</si>
  <si>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</si>
  <si>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</si>
  <si>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</si>
  <si>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</si>
  <si>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Q125</t>
  </si>
  <si>
    <t>Q225</t>
  </si>
  <si>
    <t>Q325</t>
  </si>
  <si>
    <t>Q425</t>
  </si>
  <si>
    <t>Revenue y/y</t>
  </si>
  <si>
    <t>Gross Margin</t>
  </si>
  <si>
    <t>R&amp;D y/y</t>
  </si>
  <si>
    <t>SG&amp;A y/y</t>
  </si>
  <si>
    <t>Operating Margin</t>
  </si>
  <si>
    <t>Net Margin</t>
  </si>
  <si>
    <t>Maturity</t>
  </si>
  <si>
    <t>Discount rate</t>
  </si>
  <si>
    <t>NPV</t>
  </si>
  <si>
    <t>Net cash</t>
  </si>
  <si>
    <t>Value</t>
  </si>
  <si>
    <t>Per share</t>
  </si>
  <si>
    <t>Current price</t>
  </si>
  <si>
    <t>Variance</t>
  </si>
  <si>
    <t>Consensus</t>
  </si>
  <si>
    <t>Heavily overvalued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</si>
</sst>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£&quot;#,##0.00;[Red]\-&quot;£&quot;#,##0.00"/>
    <numFmt numFmtId="164" formatCode="[$$-409]#,##0.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/>
    <xf numFmtId="0" fontId="1" fillId="2" borderId="1" xfId="0" applyFont="1" applyFill="1" applyBorder="1"/>
    <xf numFmtId="0" fontId="3" fillId="2" borderId="1" xfId="0" applyFont="1" applyFill="1" applyBorder="1" applyAlignment="1">
      <alignment horizontal="right"/>
    </xf>
    <xf numFmtId="14" fontId="3" fillId="2" borderId="1" xfId="0" applyNumberFormat="1" applyFont="1" applyFill="1" applyBorder="1" applyAlignment="1">
      <alignment horizontal="right"/>
    </xf>
    <xf numFmtId="164" fontId="2" fillId="2" borderId="1" xfId="0" applyNumberFormat="1" applyFont="1" applyFill="1" applyBorder="1"/>
    <xf numFmtId="3" fontId="2" fillId="2" borderId="1" xfId="0" applyNumberFormat="1" applyFont="1" applyFill="1" applyBorder="1"/>
    <xf numFmtId="0" fontId="2" fillId="2" borderId="1" xfId="0" applyFont="1" applyFill="1" applyBorder="1" applyAlignment="1">
      <alignment horizontal="right"/>
    </xf>
    <xf numFmtId="4" fontId="2" fillId="2" borderId="1" xfId="0" applyNumberFormat="1" applyFont="1" applyFill="1" applyBorder="1"/>
    <xf numFmtId="3" fontId="1" fillId="2" borderId="1" xfId="0" applyNumberFormat="1" applyFont="1" applyFill="1" applyBorder="1"/>
    <xf numFmtId="9" fontId="2" fillId="2" borderId="1" xfId="0" applyNumberFormat="1" applyFont="1" applyFill="1" applyBorder="1"/>
    <xf numFmtId="9" fontId="1" fillId="2" borderId="1" xfId="0" applyNumberFormat="1" applyFont="1" applyFill="1" applyBorder="1"/>
    <xf numFmtId="8" fontId="2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38100</xdr:colOff>
      <xdr:row>0</xdr:row>
      <xdr:rowOff>15240</xdr:rowOff>
    </xdr:from>
    <xdr:to>
      <xdr:col>29</xdr:col>
      <xdr:colOff>38100</xdr:colOff>
      <xdr:row>33</xdr:row>
      <xdr:rowOff>106680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E6F2159-2F1A-422C-C571-CDA25F2CF0F4}"/>
            </a:ext>
          </a:extLst>
        </xdr:cNvPr>
        <xdr:cNvCxnSpPr/>
      </xdr:nvCxnSpPr>
      <xdr:spPr>
        <a:xfrm>
          <a:off x="18531840" y="15240"/>
          <a:ext cx="0" cy="61264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45720</xdr:colOff>
      <xdr:row>0</xdr:row>
      <xdr:rowOff>0</xdr:rowOff>
    </xdr:from>
    <xdr:to>
      <xdr:col>18</xdr:col>
      <xdr:colOff>45720</xdr:colOff>
      <xdr:row>32</xdr:row>
      <xdr:rowOff>167640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7B774CCD-E4E6-2711-5B32-362A0186FBF6}"/>
            </a:ext>
          </a:extLst>
        </xdr:cNvPr>
        <xdr:cNvCxnSpPr/>
      </xdr:nvCxnSpPr>
      <xdr:spPr>
        <a:xfrm>
          <a:off x="11833860" y="0"/>
          <a:ext cx="0" cy="6019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7B7A2-890D-43C6-8568-2B7E364C5F2A}">
  <dimension ref="B2:G9"/>
  <sheetViews>
    <sheetView workbookViewId="0">
      <selection activeCell="D4" sqref="D4"/>
    </sheetView>
  </sheetViews>
  <sheetFormatPr defaultRowHeight="14.4" x14ac:dyDescent="0.3"/>
  <cols>
    <col min="1" max="4" width="8.88671875" style="1"/>
    <col min="5" max="7" width="13.33203125" style="3" customWidth="1"/>
    <col min="8" max="16384" width="8.88671875" style="1"/>
  </cols>
  <sheetData>
    <row r="2" spans="2:7" x14ac:dyDescent="0.3">
      <c r="E2" s="3" t="s">
        <v>8</v>
      </c>
      <c r="F2" s="3" t="s">
        <v>9</v>
      </c>
      <c r="G2" s="3" t="s">
        <v>10</v>
      </c>
    </row>
    <row r="3" spans="2:7" x14ac:dyDescent="0.3">
      <c r="B3" s="2" t="s">
        <v>0</v>
      </c>
      <c r="C3" s="1" t="s">
        <v>1</v>
      </c>
      <c r="D3" s="5">
        <v>2.46</v>
      </c>
      <c r="E3" s="4">
        <v>45771</v>
      </c>
      <c r="F3" s="4">
        <f ca="1">TODAY()</f>
        <v>45782</v>
      </c>
      <c r="G3" s="4">
        <v>45783</v>
      </c>
    </row>
    <row r="4" spans="2:7" x14ac:dyDescent="0.3">
      <c r="C4" s="1" t="s">
        <v>2</v>
      </c>
      <c r="D4" s="6">
        <f>3031.5</f>
        <v>3031.5</v>
      </c>
      <c r="E4" s="3" t="s">
        <v>11</v>
      </c>
    </row>
    <row r="5" spans="2:7" x14ac:dyDescent="0.3">
      <c r="C5" s="1" t="s">
        <v>3</v>
      </c>
      <c r="D5" s="6">
        <f>D3*D4</f>
        <v>7457.49</v>
      </c>
    </row>
    <row r="6" spans="2:7" x14ac:dyDescent="0.3">
      <c r="C6" s="1" t="s">
        <v>4</v>
      </c>
      <c r="D6" s="6">
        <f>1606.9+2424.1</f>
        <v>4031</v>
      </c>
      <c r="E6" s="3" t="s">
        <v>11</v>
      </c>
    </row>
    <row r="7" spans="2:7" x14ac:dyDescent="0.3">
      <c r="C7" s="1" t="s">
        <v>5</v>
      </c>
      <c r="D7" s="6">
        <f>2002.2</f>
        <v>2002.2</v>
      </c>
      <c r="E7" s="3" t="s">
        <v>11</v>
      </c>
    </row>
    <row r="8" spans="2:7" x14ac:dyDescent="0.3">
      <c r="C8" s="1" t="s">
        <v>6</v>
      </c>
      <c r="D8" s="6">
        <f>D6-D7</f>
        <v>2028.8</v>
      </c>
    </row>
    <row r="9" spans="2:7" x14ac:dyDescent="0.3">
      <c r="C9" s="1" t="s">
        <v>7</v>
      </c>
      <c r="D9" s="6">
        <f>D5-D8</f>
        <v>5428.69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EB153-B42C-4EA2-9808-5A7F3690FC48}">
  <dimension ref="B2:EF27"/>
  <sheetViews>
    <sheetView tabSelected="1" workbookViewId="0">
      <pane xSplit="2" ySplit="2" topLeftCell="I3" activePane="bottomRight" state="frozen"/>
      <selection pane="topRight" activeCell="C1" sqref="C1"/>
      <selection pane="bottomLeft" activeCell="A3" sqref="A3"/>
      <selection pane="bottomRight" activeCell="S3" sqref="S3"/>
    </sheetView>
  </sheetViews>
  <sheetFormatPr defaultRowHeight="14.4" x14ac:dyDescent="0.3"/>
  <cols>
    <col min="1" max="1" width="8.88671875" style="1"/>
    <col min="2" max="2" width="20.77734375" style="1" bestFit="1" customWidth="1"/>
    <col min="3" max="17" width="8.88671875" style="1"/>
    <col min="18" max="18" width="8.88671875" style="1" customWidth="1"/>
    <col min="19" max="41" width="8.88671875" style="1"/>
    <col min="42" max="42" width="11.88671875" style="1" bestFit="1" customWidth="1"/>
    <col min="43" max="43" width="16.77734375" style="1" customWidth="1"/>
    <col min="44" max="16384" width="8.88671875" style="1"/>
  </cols>
  <sheetData>
    <row r="2" spans="2:136" x14ac:dyDescent="0.3"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11</v>
      </c>
      <c r="S2" s="7" t="s">
        <v>40</v>
      </c>
      <c r="T2" s="7" t="s">
        <v>41</v>
      </c>
      <c r="U2" s="7" t="s">
        <v>42</v>
      </c>
      <c r="V2" s="7" t="s">
        <v>43</v>
      </c>
      <c r="X2" s="1">
        <v>2019</v>
      </c>
      <c r="Y2" s="1">
        <v>2020</v>
      </c>
      <c r="Z2" s="1">
        <v>2021</v>
      </c>
      <c r="AA2" s="1">
        <v>2022</v>
      </c>
      <c r="AB2" s="1">
        <v>2023</v>
      </c>
      <c r="AC2" s="1">
        <v>2024</v>
      </c>
      <c r="AD2" s="1">
        <v>2025</v>
      </c>
      <c r="AE2" s="1">
        <v>2026</v>
      </c>
      <c r="AF2" s="1">
        <v>2027</v>
      </c>
      <c r="AG2" s="1">
        <v>2028</v>
      </c>
      <c r="AH2" s="1">
        <v>2029</v>
      </c>
      <c r="AI2" s="1">
        <v>2030</v>
      </c>
      <c r="AJ2" s="1">
        <v>2031</v>
      </c>
      <c r="AK2" s="1">
        <v>2032</v>
      </c>
      <c r="AL2" s="1">
        <v>2033</v>
      </c>
      <c r="AM2" s="1">
        <v>2034</v>
      </c>
      <c r="AN2" s="1">
        <v>2035</v>
      </c>
    </row>
    <row r="3" spans="2:136" s="2" customFormat="1" x14ac:dyDescent="0.3">
      <c r="B3" s="2" t="s">
        <v>12</v>
      </c>
      <c r="M3" s="9">
        <v>137.80000000000001</v>
      </c>
      <c r="N3" s="9">
        <v>157.19999999999999</v>
      </c>
      <c r="Q3" s="9">
        <v>200</v>
      </c>
      <c r="R3" s="9">
        <v>234.5</v>
      </c>
      <c r="X3" s="9">
        <v>4.5999999999999996</v>
      </c>
      <c r="Y3" s="9">
        <v>4</v>
      </c>
      <c r="Z3" s="9">
        <v>27.1</v>
      </c>
      <c r="AA3" s="9">
        <v>608.20000000000005</v>
      </c>
      <c r="AB3" s="9">
        <v>595.29999999999995</v>
      </c>
      <c r="AC3" s="9">
        <v>807.8</v>
      </c>
      <c r="AD3" s="9">
        <f>AC3*1.5</f>
        <v>1211.6999999999998</v>
      </c>
      <c r="AE3" s="9">
        <f>AD3*1.4</f>
        <v>1696.3799999999997</v>
      </c>
      <c r="AF3" s="9">
        <f>AE3*1.35</f>
        <v>2290.1129999999998</v>
      </c>
      <c r="AG3" s="9">
        <f>AF3*1.3</f>
        <v>2977.1468999999997</v>
      </c>
      <c r="AH3" s="9">
        <f>AG3*1.25</f>
        <v>3721.4336249999997</v>
      </c>
      <c r="AI3" s="9">
        <f>AH3*1.2</f>
        <v>4465.7203499999996</v>
      </c>
      <c r="AJ3" s="9">
        <f t="shared" ref="AJ3:AN3" si="0">AI3*1.2</f>
        <v>5358.864419999999</v>
      </c>
      <c r="AK3" s="9">
        <f t="shared" si="0"/>
        <v>6430.6373039999989</v>
      </c>
      <c r="AL3" s="9">
        <f t="shared" si="0"/>
        <v>7716.7647647999984</v>
      </c>
      <c r="AM3" s="9">
        <f t="shared" si="0"/>
        <v>9260.1177177599984</v>
      </c>
      <c r="AN3" s="9">
        <f t="shared" si="0"/>
        <v>11112.141261311997</v>
      </c>
    </row>
    <row r="4" spans="2:136" x14ac:dyDescent="0.3">
      <c r="B4" s="1" t="s">
        <v>13</v>
      </c>
      <c r="M4" s="6">
        <v>469.7</v>
      </c>
      <c r="N4" s="6">
        <v>410</v>
      </c>
      <c r="Q4" s="6">
        <v>412.5</v>
      </c>
      <c r="R4" s="6">
        <v>443.2</v>
      </c>
      <c r="X4" s="6">
        <v>3.9</v>
      </c>
      <c r="Y4" s="6">
        <v>3.1</v>
      </c>
      <c r="Z4" s="6">
        <v>154.9</v>
      </c>
      <c r="AA4" s="6">
        <v>1646.1</v>
      </c>
      <c r="AB4" s="6">
        <v>1936.1</v>
      </c>
      <c r="AC4" s="6">
        <v>1730.9</v>
      </c>
      <c r="AD4" s="6">
        <f>AD3-AD5</f>
        <v>1938.7199999999998</v>
      </c>
      <c r="AE4" s="6">
        <f t="shared" ref="AE4:AN4" si="1">AE3-AE5</f>
        <v>2205.2939999999994</v>
      </c>
      <c r="AF4" s="6">
        <f t="shared" si="1"/>
        <v>2404.6186499999999</v>
      </c>
      <c r="AG4" s="6">
        <f t="shared" si="1"/>
        <v>2679.4322099999999</v>
      </c>
      <c r="AH4" s="6">
        <f t="shared" si="1"/>
        <v>3163.2185812499997</v>
      </c>
      <c r="AI4" s="6">
        <f t="shared" si="1"/>
        <v>3706.5478904999995</v>
      </c>
      <c r="AJ4" s="6">
        <f t="shared" si="1"/>
        <v>4394.2688243999992</v>
      </c>
      <c r="AK4" s="6">
        <f t="shared" si="1"/>
        <v>5208.8162162399994</v>
      </c>
      <c r="AL4" s="6">
        <f t="shared" si="1"/>
        <v>6173.4118118399983</v>
      </c>
      <c r="AM4" s="6">
        <f t="shared" si="1"/>
        <v>7408.0941742079985</v>
      </c>
      <c r="AN4" s="6">
        <f t="shared" si="1"/>
        <v>8889.7130090495975</v>
      </c>
    </row>
    <row r="5" spans="2:136" s="2" customFormat="1" x14ac:dyDescent="0.3">
      <c r="B5" s="2" t="s">
        <v>14</v>
      </c>
      <c r="M5" s="9">
        <f>M3-M4</f>
        <v>-331.9</v>
      </c>
      <c r="N5" s="9">
        <f>N3-N4</f>
        <v>-252.8</v>
      </c>
      <c r="Q5" s="9">
        <f>Q3-Q4</f>
        <v>-212.5</v>
      </c>
      <c r="R5" s="9">
        <f>R3-R4</f>
        <v>-208.7</v>
      </c>
      <c r="X5" s="9">
        <f t="shared" ref="X5:AC5" si="2">X3-X4</f>
        <v>0.69999999999999973</v>
      </c>
      <c r="Y5" s="9">
        <f t="shared" si="2"/>
        <v>0.89999999999999991</v>
      </c>
      <c r="Z5" s="9">
        <f t="shared" si="2"/>
        <v>-127.80000000000001</v>
      </c>
      <c r="AA5" s="9">
        <f t="shared" si="2"/>
        <v>-1037.8999999999999</v>
      </c>
      <c r="AB5" s="9">
        <f t="shared" si="2"/>
        <v>-1340.8</v>
      </c>
      <c r="AC5" s="9">
        <f t="shared" si="2"/>
        <v>-923.10000000000014</v>
      </c>
      <c r="AD5" s="9">
        <f>-AD3*0.6</f>
        <v>-727.01999999999987</v>
      </c>
      <c r="AE5" s="9">
        <f>-AE3*0.3</f>
        <v>-508.91399999999987</v>
      </c>
      <c r="AF5" s="9">
        <f>-AF3*0.05</f>
        <v>-114.50565</v>
      </c>
      <c r="AG5" s="9">
        <f>AG3*0.1</f>
        <v>297.71468999999996</v>
      </c>
      <c r="AH5" s="9">
        <f>AH3*0.15</f>
        <v>558.21504374999995</v>
      </c>
      <c r="AI5" s="9">
        <f>AI3*0.17</f>
        <v>759.17245949999995</v>
      </c>
      <c r="AJ5" s="9">
        <f>AJ3*0.18</f>
        <v>964.5955955999998</v>
      </c>
      <c r="AK5" s="9">
        <f>AK3*0.19</f>
        <v>1221.8210877599997</v>
      </c>
      <c r="AL5" s="9">
        <f>AL3*0.2</f>
        <v>1543.3529529599998</v>
      </c>
      <c r="AM5" s="9">
        <f t="shared" ref="AM5:AN5" si="3">AM3*0.2</f>
        <v>1852.0235435519999</v>
      </c>
      <c r="AN5" s="9">
        <f t="shared" si="3"/>
        <v>2222.4282522623994</v>
      </c>
    </row>
    <row r="6" spans="2:136" x14ac:dyDescent="0.3">
      <c r="B6" s="1" t="s">
        <v>15</v>
      </c>
      <c r="M6" s="6">
        <v>230.8</v>
      </c>
      <c r="N6" s="6">
        <v>243</v>
      </c>
      <c r="Q6" s="6">
        <v>324.39999999999998</v>
      </c>
      <c r="R6" s="6">
        <v>280.3</v>
      </c>
      <c r="X6" s="6">
        <v>220.2</v>
      </c>
      <c r="Y6" s="6">
        <v>511.1</v>
      </c>
      <c r="Z6" s="6">
        <v>750.2</v>
      </c>
      <c r="AA6" s="6">
        <v>821.5</v>
      </c>
      <c r="AB6" s="6">
        <v>937</v>
      </c>
      <c r="AC6" s="6">
        <v>1176.5</v>
      </c>
      <c r="AD6" s="6">
        <f>AC6*1.03</f>
        <v>1211.7950000000001</v>
      </c>
      <c r="AE6" s="6">
        <f>AD6*1.02</f>
        <v>1236.0309000000002</v>
      </c>
      <c r="AF6" s="6">
        <f>AE6*1.01</f>
        <v>1248.3912090000001</v>
      </c>
      <c r="AG6" s="6">
        <f t="shared" ref="AG6:AN6" si="4">AF6*1.01</f>
        <v>1260.8751210900002</v>
      </c>
      <c r="AH6" s="6">
        <f t="shared" si="4"/>
        <v>1273.4838723009002</v>
      </c>
      <c r="AI6" s="6">
        <f t="shared" si="4"/>
        <v>1286.2187110239092</v>
      </c>
      <c r="AJ6" s="6">
        <f t="shared" si="4"/>
        <v>1299.0808981341484</v>
      </c>
      <c r="AK6" s="6">
        <f t="shared" si="4"/>
        <v>1312.0717071154897</v>
      </c>
      <c r="AL6" s="6">
        <f t="shared" si="4"/>
        <v>1325.1924241866448</v>
      </c>
      <c r="AM6" s="6">
        <f t="shared" si="4"/>
        <v>1338.4443484285111</v>
      </c>
      <c r="AN6" s="6">
        <f t="shared" si="4"/>
        <v>1351.8287919127963</v>
      </c>
    </row>
    <row r="7" spans="2:136" x14ac:dyDescent="0.3">
      <c r="B7" s="1" t="s">
        <v>16</v>
      </c>
      <c r="M7" s="6">
        <v>189.7</v>
      </c>
      <c r="N7" s="6">
        <v>241</v>
      </c>
      <c r="Q7" s="6">
        <v>233.6</v>
      </c>
      <c r="R7" s="6">
        <v>243.9</v>
      </c>
      <c r="X7" s="6">
        <v>38.4</v>
      </c>
      <c r="Y7" s="6">
        <v>89</v>
      </c>
      <c r="Z7" s="6">
        <v>652.5</v>
      </c>
      <c r="AA7" s="6">
        <v>734.6</v>
      </c>
      <c r="AB7" s="6">
        <v>797.2</v>
      </c>
      <c r="AC7" s="6">
        <v>901</v>
      </c>
      <c r="AD7" s="6">
        <f>AC7*1.02</f>
        <v>919.02</v>
      </c>
      <c r="AE7" s="6">
        <f t="shared" ref="AE7:AN7" si="5">AD7*1.01</f>
        <v>928.21019999999999</v>
      </c>
      <c r="AF7" s="6">
        <f t="shared" si="5"/>
        <v>937.492302</v>
      </c>
      <c r="AG7" s="6">
        <f t="shared" si="5"/>
        <v>946.86722501999998</v>
      </c>
      <c r="AH7" s="6">
        <f t="shared" si="5"/>
        <v>956.33589727020001</v>
      </c>
      <c r="AI7" s="6">
        <f t="shared" si="5"/>
        <v>965.89925624290197</v>
      </c>
      <c r="AJ7" s="6">
        <f t="shared" si="5"/>
        <v>975.558248805331</v>
      </c>
      <c r="AK7" s="6">
        <f t="shared" si="5"/>
        <v>985.31383129338428</v>
      </c>
      <c r="AL7" s="6">
        <f t="shared" si="5"/>
        <v>995.16696960631816</v>
      </c>
      <c r="AM7" s="6">
        <f t="shared" si="5"/>
        <v>1005.1186393023813</v>
      </c>
      <c r="AN7" s="6">
        <f t="shared" si="5"/>
        <v>1015.1698256954052</v>
      </c>
    </row>
    <row r="8" spans="2:136" x14ac:dyDescent="0.3">
      <c r="B8" s="1" t="s">
        <v>17</v>
      </c>
      <c r="M8" s="6">
        <v>0.5</v>
      </c>
      <c r="N8" s="6">
        <v>0</v>
      </c>
      <c r="Q8" s="6">
        <v>0.1</v>
      </c>
      <c r="R8" s="6">
        <v>0</v>
      </c>
      <c r="X8" s="6">
        <v>0</v>
      </c>
      <c r="Y8" s="6">
        <v>0</v>
      </c>
      <c r="Z8" s="6">
        <v>0</v>
      </c>
      <c r="AA8" s="6">
        <v>0</v>
      </c>
      <c r="AB8" s="6">
        <v>24.5</v>
      </c>
      <c r="AC8" s="6">
        <v>20.3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</row>
    <row r="9" spans="2:136" x14ac:dyDescent="0.3">
      <c r="B9" s="1" t="s">
        <v>18</v>
      </c>
      <c r="M9" s="6">
        <f>SUM(M6:M8)</f>
        <v>421</v>
      </c>
      <c r="N9" s="6">
        <f>SUM(N6:N8)</f>
        <v>484</v>
      </c>
      <c r="Q9" s="6">
        <f>SUM(Q6:Q8)</f>
        <v>558.1</v>
      </c>
      <c r="R9" s="6">
        <f>SUM(R6:R8)</f>
        <v>524.20000000000005</v>
      </c>
      <c r="X9" s="6">
        <f t="shared" ref="X9:AD9" si="6">SUM(X6:X8)</f>
        <v>258.59999999999997</v>
      </c>
      <c r="Y9" s="6">
        <f t="shared" si="6"/>
        <v>600.1</v>
      </c>
      <c r="Z9" s="6">
        <f t="shared" si="6"/>
        <v>1402.7</v>
      </c>
      <c r="AA9" s="6">
        <f t="shared" si="6"/>
        <v>1556.1</v>
      </c>
      <c r="AB9" s="6">
        <f t="shared" si="6"/>
        <v>1758.7</v>
      </c>
      <c r="AC9" s="6">
        <f t="shared" si="6"/>
        <v>2097.8000000000002</v>
      </c>
      <c r="AD9" s="6">
        <f t="shared" si="6"/>
        <v>2130.8150000000001</v>
      </c>
      <c r="AE9" s="6">
        <f t="shared" ref="AE9:AN9" si="7">SUM(AE6:AE8)</f>
        <v>2164.2411000000002</v>
      </c>
      <c r="AF9" s="6">
        <f t="shared" si="7"/>
        <v>2185.883511</v>
      </c>
      <c r="AG9" s="6">
        <f t="shared" si="7"/>
        <v>2207.7423461100002</v>
      </c>
      <c r="AH9" s="6">
        <f t="shared" si="7"/>
        <v>2229.8197695711001</v>
      </c>
      <c r="AI9" s="6">
        <f t="shared" si="7"/>
        <v>2252.1179672668113</v>
      </c>
      <c r="AJ9" s="6">
        <f t="shared" si="7"/>
        <v>2274.6391469394794</v>
      </c>
      <c r="AK9" s="6">
        <f t="shared" si="7"/>
        <v>2297.3855384088738</v>
      </c>
      <c r="AL9" s="6">
        <f t="shared" si="7"/>
        <v>2320.3593937929627</v>
      </c>
      <c r="AM9" s="6">
        <f t="shared" si="7"/>
        <v>2343.5629877308925</v>
      </c>
      <c r="AN9" s="6">
        <f t="shared" si="7"/>
        <v>2366.9986176082016</v>
      </c>
    </row>
    <row r="10" spans="2:136" s="2" customFormat="1" x14ac:dyDescent="0.3">
      <c r="B10" s="2" t="s">
        <v>19</v>
      </c>
      <c r="M10" s="9">
        <f>M5-M9</f>
        <v>-752.9</v>
      </c>
      <c r="N10" s="9">
        <f>N5-N9</f>
        <v>-736.8</v>
      </c>
      <c r="Q10" s="9">
        <f>Q5-Q9</f>
        <v>-770.6</v>
      </c>
      <c r="R10" s="9">
        <f>R5-R9</f>
        <v>-732.90000000000009</v>
      </c>
      <c r="X10" s="9">
        <f t="shared" ref="X10:AD10" si="8">X5-X9</f>
        <v>-257.89999999999998</v>
      </c>
      <c r="Y10" s="9">
        <f t="shared" si="8"/>
        <v>-599.20000000000005</v>
      </c>
      <c r="Z10" s="9">
        <f t="shared" si="8"/>
        <v>-1530.5</v>
      </c>
      <c r="AA10" s="9">
        <f t="shared" si="8"/>
        <v>-2594</v>
      </c>
      <c r="AB10" s="9">
        <f t="shared" si="8"/>
        <v>-3099.5</v>
      </c>
      <c r="AC10" s="9">
        <f t="shared" si="8"/>
        <v>-3020.9000000000005</v>
      </c>
      <c r="AD10" s="9">
        <f t="shared" si="8"/>
        <v>-2857.835</v>
      </c>
      <c r="AE10" s="9">
        <f t="shared" ref="AE10:AN10" si="9">AE5-AE9</f>
        <v>-2673.1550999999999</v>
      </c>
      <c r="AF10" s="9">
        <f t="shared" si="9"/>
        <v>-2300.3891610000001</v>
      </c>
      <c r="AG10" s="9">
        <f t="shared" si="9"/>
        <v>-1910.0276561100002</v>
      </c>
      <c r="AH10" s="9">
        <f t="shared" si="9"/>
        <v>-1671.6047258211001</v>
      </c>
      <c r="AI10" s="9">
        <f t="shared" si="9"/>
        <v>-1492.9455077668113</v>
      </c>
      <c r="AJ10" s="9">
        <f t="shared" si="9"/>
        <v>-1310.0435513394796</v>
      </c>
      <c r="AK10" s="9">
        <f t="shared" si="9"/>
        <v>-1075.5644506488741</v>
      </c>
      <c r="AL10" s="9">
        <f t="shared" si="9"/>
        <v>-777.00644083296288</v>
      </c>
      <c r="AM10" s="9">
        <f t="shared" si="9"/>
        <v>-491.53944417889261</v>
      </c>
      <c r="AN10" s="9">
        <f t="shared" si="9"/>
        <v>-144.5703653458022</v>
      </c>
    </row>
    <row r="11" spans="2:136" x14ac:dyDescent="0.3">
      <c r="B11" s="1" t="s">
        <v>20</v>
      </c>
      <c r="M11" s="6">
        <v>-122.3</v>
      </c>
      <c r="N11" s="6">
        <v>-83.1</v>
      </c>
      <c r="Q11" s="6">
        <v>221.5</v>
      </c>
      <c r="R11" s="6">
        <v>-336.3</v>
      </c>
      <c r="X11" s="6">
        <v>19.399999999999999</v>
      </c>
      <c r="Y11" s="6">
        <v>120.3</v>
      </c>
      <c r="Z11" s="6">
        <v>1049.3</v>
      </c>
      <c r="AA11" s="6">
        <v>-1289.9000000000001</v>
      </c>
      <c r="AB11" s="6">
        <v>-272.2</v>
      </c>
      <c r="AC11" s="6">
        <v>-308.10000000000002</v>
      </c>
      <c r="AD11" s="6">
        <f>AC11*1.05</f>
        <v>-323.50500000000005</v>
      </c>
      <c r="AE11" s="6">
        <f t="shared" ref="AE11:AN11" si="10">AD11*1.05</f>
        <v>-339.68025000000006</v>
      </c>
      <c r="AF11" s="6">
        <f t="shared" si="10"/>
        <v>-356.66426250000006</v>
      </c>
      <c r="AG11" s="6">
        <f t="shared" si="10"/>
        <v>-374.49747562500011</v>
      </c>
      <c r="AH11" s="6">
        <f t="shared" si="10"/>
        <v>-393.22234940625015</v>
      </c>
      <c r="AI11" s="6">
        <f t="shared" si="10"/>
        <v>-412.88346687656269</v>
      </c>
      <c r="AJ11" s="6">
        <f t="shared" si="10"/>
        <v>-433.52764022039082</v>
      </c>
      <c r="AK11" s="6">
        <f t="shared" si="10"/>
        <v>-455.20402223141036</v>
      </c>
      <c r="AL11" s="6">
        <f t="shared" si="10"/>
        <v>-477.96422334298092</v>
      </c>
      <c r="AM11" s="6">
        <f t="shared" si="10"/>
        <v>-501.86243451012996</v>
      </c>
      <c r="AN11" s="6">
        <f t="shared" si="10"/>
        <v>-526.95555623563644</v>
      </c>
    </row>
    <row r="12" spans="2:136" s="2" customFormat="1" x14ac:dyDescent="0.3">
      <c r="B12" s="2" t="s">
        <v>21</v>
      </c>
      <c r="M12" s="9">
        <f>M10-M11</f>
        <v>-630.6</v>
      </c>
      <c r="N12" s="9">
        <f>N10-N11</f>
        <v>-653.69999999999993</v>
      </c>
      <c r="Q12" s="9">
        <f>Q10-Q11</f>
        <v>-992.1</v>
      </c>
      <c r="R12" s="9">
        <f>R10-R11</f>
        <v>-396.60000000000008</v>
      </c>
      <c r="X12" s="9">
        <f t="shared" ref="X12:AD12" si="11">X10-X11</f>
        <v>-277.29999999999995</v>
      </c>
      <c r="Y12" s="9">
        <f t="shared" si="11"/>
        <v>-719.5</v>
      </c>
      <c r="Z12" s="9">
        <f t="shared" si="11"/>
        <v>-2579.8000000000002</v>
      </c>
      <c r="AA12" s="9">
        <f t="shared" si="11"/>
        <v>-1304.0999999999999</v>
      </c>
      <c r="AB12" s="9">
        <f t="shared" si="11"/>
        <v>-2827.3</v>
      </c>
      <c r="AC12" s="9">
        <f t="shared" si="11"/>
        <v>-2712.8000000000006</v>
      </c>
      <c r="AD12" s="9">
        <f t="shared" si="11"/>
        <v>-2534.33</v>
      </c>
      <c r="AE12" s="9">
        <f t="shared" ref="AE12:AN12" si="12">AE10-AE11</f>
        <v>-2333.4748500000001</v>
      </c>
      <c r="AF12" s="9">
        <f t="shared" si="12"/>
        <v>-1943.7248985000001</v>
      </c>
      <c r="AG12" s="9">
        <f t="shared" si="12"/>
        <v>-1535.5301804850001</v>
      </c>
      <c r="AH12" s="9">
        <f t="shared" si="12"/>
        <v>-1278.3823764148501</v>
      </c>
      <c r="AI12" s="9">
        <f t="shared" si="12"/>
        <v>-1080.0620408902487</v>
      </c>
      <c r="AJ12" s="9">
        <f t="shared" si="12"/>
        <v>-876.51591111908874</v>
      </c>
      <c r="AK12" s="9">
        <f t="shared" si="12"/>
        <v>-620.36042841746371</v>
      </c>
      <c r="AL12" s="9">
        <f t="shared" si="12"/>
        <v>-299.04221748998197</v>
      </c>
      <c r="AM12" s="9">
        <f t="shared" si="12"/>
        <v>10.322990331237349</v>
      </c>
      <c r="AN12" s="9">
        <f t="shared" si="12"/>
        <v>382.38519088983423</v>
      </c>
    </row>
    <row r="13" spans="2:136" x14ac:dyDescent="0.3">
      <c r="B13" s="1" t="s">
        <v>22</v>
      </c>
      <c r="M13" s="6">
        <v>0.3</v>
      </c>
      <c r="N13" s="6">
        <v>0</v>
      </c>
      <c r="Q13" s="6">
        <v>0.5</v>
      </c>
      <c r="R13" s="6">
        <v>0.6</v>
      </c>
      <c r="X13" s="6">
        <v>0</v>
      </c>
      <c r="Y13" s="6">
        <v>-0.2</v>
      </c>
      <c r="Z13" s="6">
        <v>-0.1</v>
      </c>
      <c r="AA13" s="6">
        <v>0.4</v>
      </c>
      <c r="AB13" s="6">
        <v>1</v>
      </c>
      <c r="AC13" s="6">
        <v>1.2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</row>
    <row r="14" spans="2:136" s="2" customFormat="1" x14ac:dyDescent="0.3">
      <c r="B14" s="2" t="s">
        <v>23</v>
      </c>
      <c r="M14" s="9">
        <f>M12-M13</f>
        <v>-630.9</v>
      </c>
      <c r="N14" s="9">
        <f>N12-N13</f>
        <v>-653.69999999999993</v>
      </c>
      <c r="Q14" s="9">
        <f>Q12-Q13</f>
        <v>-992.6</v>
      </c>
      <c r="R14" s="9">
        <f>R12-R13</f>
        <v>-397.2000000000001</v>
      </c>
      <c r="X14" s="9">
        <f t="shared" ref="X14:AD14" si="13">X12-X13</f>
        <v>-277.29999999999995</v>
      </c>
      <c r="Y14" s="9">
        <f t="shared" si="13"/>
        <v>-719.3</v>
      </c>
      <c r="Z14" s="9">
        <f t="shared" si="13"/>
        <v>-2579.7000000000003</v>
      </c>
      <c r="AA14" s="9">
        <f t="shared" si="13"/>
        <v>-1304.5</v>
      </c>
      <c r="AB14" s="9">
        <f t="shared" si="13"/>
        <v>-2828.3</v>
      </c>
      <c r="AC14" s="9">
        <f t="shared" si="13"/>
        <v>-2714.0000000000005</v>
      </c>
      <c r="AD14" s="9">
        <f t="shared" si="13"/>
        <v>-2534.33</v>
      </c>
      <c r="AE14" s="9">
        <f t="shared" ref="AE14:AN14" si="14">AE12-AE13</f>
        <v>-2333.4748500000001</v>
      </c>
      <c r="AF14" s="9">
        <f t="shared" si="14"/>
        <v>-1943.7248985000001</v>
      </c>
      <c r="AG14" s="9">
        <f t="shared" si="14"/>
        <v>-1535.5301804850001</v>
      </c>
      <c r="AH14" s="9">
        <f t="shared" si="14"/>
        <v>-1278.3823764148501</v>
      </c>
      <c r="AI14" s="9">
        <f t="shared" si="14"/>
        <v>-1080.0620408902487</v>
      </c>
      <c r="AJ14" s="9">
        <f t="shared" si="14"/>
        <v>-876.51591111908874</v>
      </c>
      <c r="AK14" s="9">
        <f t="shared" si="14"/>
        <v>-620.36042841746371</v>
      </c>
      <c r="AL14" s="9">
        <f t="shared" si="14"/>
        <v>-299.04221748998197</v>
      </c>
      <c r="AM14" s="9">
        <f t="shared" si="14"/>
        <v>10.322990331237349</v>
      </c>
      <c r="AN14" s="9">
        <f t="shared" si="14"/>
        <v>382.38519088983423</v>
      </c>
      <c r="AO14" s="2">
        <f>AN14*(1+$AQ$19)</f>
        <v>378.56133898093589</v>
      </c>
      <c r="AP14" s="2">
        <f t="shared" ref="AP14:DA14" si="15">AO14*(1+$AQ$19)</f>
        <v>374.7757255911265</v>
      </c>
      <c r="AQ14" s="2">
        <f t="shared" si="15"/>
        <v>371.02796833521523</v>
      </c>
      <c r="AR14" s="2">
        <f t="shared" si="15"/>
        <v>367.31768865186308</v>
      </c>
      <c r="AS14" s="2">
        <f t="shared" si="15"/>
        <v>363.64451176534442</v>
      </c>
      <c r="AT14" s="2">
        <f t="shared" si="15"/>
        <v>360.00806664769095</v>
      </c>
      <c r="AU14" s="2">
        <f t="shared" si="15"/>
        <v>356.40798598121404</v>
      </c>
      <c r="AV14" s="2">
        <f t="shared" si="15"/>
        <v>352.84390612140191</v>
      </c>
      <c r="AW14" s="2">
        <f t="shared" si="15"/>
        <v>349.31546706018787</v>
      </c>
      <c r="AX14" s="2">
        <f t="shared" si="15"/>
        <v>345.82231238958599</v>
      </c>
      <c r="AY14" s="2">
        <f t="shared" si="15"/>
        <v>342.3640892656901</v>
      </c>
      <c r="AZ14" s="2">
        <f t="shared" si="15"/>
        <v>338.94044837303318</v>
      </c>
      <c r="BA14" s="2">
        <f t="shared" si="15"/>
        <v>335.55104388930283</v>
      </c>
      <c r="BB14" s="2">
        <f t="shared" si="15"/>
        <v>332.19553345040981</v>
      </c>
      <c r="BC14" s="2">
        <f t="shared" si="15"/>
        <v>328.87357811590573</v>
      </c>
      <c r="BD14" s="2">
        <f t="shared" si="15"/>
        <v>325.58484233474667</v>
      </c>
      <c r="BE14" s="2">
        <f t="shared" si="15"/>
        <v>322.32899391139921</v>
      </c>
      <c r="BF14" s="2">
        <f t="shared" si="15"/>
        <v>319.1057039722852</v>
      </c>
      <c r="BG14" s="2">
        <f t="shared" si="15"/>
        <v>315.91464693256233</v>
      </c>
      <c r="BH14" s="2">
        <f t="shared" si="15"/>
        <v>312.75550046323673</v>
      </c>
      <c r="BI14" s="2">
        <f t="shared" si="15"/>
        <v>309.62794545860436</v>
      </c>
      <c r="BJ14" s="2">
        <f t="shared" si="15"/>
        <v>306.53166600401829</v>
      </c>
      <c r="BK14" s="2">
        <f t="shared" si="15"/>
        <v>303.4663493439781</v>
      </c>
      <c r="BL14" s="2">
        <f t="shared" si="15"/>
        <v>300.43168585053832</v>
      </c>
      <c r="BM14" s="2">
        <f t="shared" si="15"/>
        <v>297.42736899203294</v>
      </c>
      <c r="BN14" s="2">
        <f t="shared" si="15"/>
        <v>294.45309530211262</v>
      </c>
      <c r="BO14" s="2">
        <f t="shared" si="15"/>
        <v>291.5085643490915</v>
      </c>
      <c r="BP14" s="2">
        <f t="shared" si="15"/>
        <v>288.5934787056006</v>
      </c>
      <c r="BQ14" s="2">
        <f t="shared" si="15"/>
        <v>285.70754391854462</v>
      </c>
      <c r="BR14" s="2">
        <f t="shared" si="15"/>
        <v>282.85046847935917</v>
      </c>
      <c r="BS14" s="2">
        <f t="shared" si="15"/>
        <v>280.02196379456558</v>
      </c>
      <c r="BT14" s="2">
        <f t="shared" si="15"/>
        <v>277.22174415661993</v>
      </c>
      <c r="BU14" s="2">
        <f t="shared" si="15"/>
        <v>274.44952671505371</v>
      </c>
      <c r="BV14" s="2">
        <f t="shared" si="15"/>
        <v>271.7050314479032</v>
      </c>
      <c r="BW14" s="2">
        <f t="shared" si="15"/>
        <v>268.98798113342417</v>
      </c>
      <c r="BX14" s="2">
        <f t="shared" si="15"/>
        <v>266.29810132208991</v>
      </c>
      <c r="BY14" s="2">
        <f t="shared" si="15"/>
        <v>263.63512030886898</v>
      </c>
      <c r="BZ14" s="2">
        <f t="shared" si="15"/>
        <v>260.9987691057803</v>
      </c>
      <c r="CA14" s="2">
        <f t="shared" si="15"/>
        <v>258.38878141472247</v>
      </c>
      <c r="CB14" s="2">
        <f t="shared" si="15"/>
        <v>255.80489360057524</v>
      </c>
      <c r="CC14" s="2">
        <f t="shared" si="15"/>
        <v>253.24684466456949</v>
      </c>
      <c r="CD14" s="2">
        <f t="shared" si="15"/>
        <v>250.71437621792379</v>
      </c>
      <c r="CE14" s="2">
        <f t="shared" si="15"/>
        <v>248.20723245574453</v>
      </c>
      <c r="CF14" s="2">
        <f t="shared" si="15"/>
        <v>245.7251601311871</v>
      </c>
      <c r="CG14" s="2">
        <f t="shared" si="15"/>
        <v>243.26790852987523</v>
      </c>
      <c r="CH14" s="2">
        <f t="shared" si="15"/>
        <v>240.83522944457647</v>
      </c>
      <c r="CI14" s="2">
        <f t="shared" si="15"/>
        <v>238.42687715013071</v>
      </c>
      <c r="CJ14" s="2">
        <f t="shared" si="15"/>
        <v>236.04260837862941</v>
      </c>
      <c r="CK14" s="2">
        <f t="shared" si="15"/>
        <v>233.6821822948431</v>
      </c>
      <c r="CL14" s="2">
        <f t="shared" si="15"/>
        <v>231.34536047189468</v>
      </c>
      <c r="CM14" s="2">
        <f t="shared" si="15"/>
        <v>229.03190686717573</v>
      </c>
      <c r="CN14" s="2">
        <f t="shared" si="15"/>
        <v>226.74158779850399</v>
      </c>
      <c r="CO14" s="2">
        <f t="shared" si="15"/>
        <v>224.47417192051896</v>
      </c>
      <c r="CP14" s="2">
        <f t="shared" si="15"/>
        <v>222.22943020131376</v>
      </c>
      <c r="CQ14" s="2">
        <f t="shared" si="15"/>
        <v>220.00713589930064</v>
      </c>
      <c r="CR14" s="2">
        <f t="shared" si="15"/>
        <v>217.80706454030764</v>
      </c>
      <c r="CS14" s="2">
        <f t="shared" si="15"/>
        <v>215.62899389490457</v>
      </c>
      <c r="CT14" s="2">
        <f t="shared" si="15"/>
        <v>213.47270395595552</v>
      </c>
      <c r="CU14" s="2">
        <f t="shared" si="15"/>
        <v>211.33797691639597</v>
      </c>
      <c r="CV14" s="2">
        <f t="shared" si="15"/>
        <v>209.224597147232</v>
      </c>
      <c r="CW14" s="2">
        <f t="shared" si="15"/>
        <v>207.13235117575968</v>
      </c>
      <c r="CX14" s="2">
        <f t="shared" si="15"/>
        <v>205.06102766400207</v>
      </c>
      <c r="CY14" s="2">
        <f t="shared" si="15"/>
        <v>203.01041738736205</v>
      </c>
      <c r="CZ14" s="2">
        <f t="shared" si="15"/>
        <v>200.98031321348844</v>
      </c>
      <c r="DA14" s="2">
        <f t="shared" si="15"/>
        <v>198.97051008135355</v>
      </c>
      <c r="DB14" s="2">
        <f t="shared" ref="DB14:EF14" si="16">DA14*(1+$AQ$19)</f>
        <v>196.98080498054003</v>
      </c>
      <c r="DC14" s="2">
        <f t="shared" si="16"/>
        <v>195.01099693073462</v>
      </c>
      <c r="DD14" s="2">
        <f t="shared" si="16"/>
        <v>193.06088696142729</v>
      </c>
      <c r="DE14" s="2">
        <f t="shared" si="16"/>
        <v>191.13027809181301</v>
      </c>
      <c r="DF14" s="2">
        <f t="shared" si="16"/>
        <v>189.21897531089488</v>
      </c>
      <c r="DG14" s="2">
        <f t="shared" si="16"/>
        <v>187.32678555778594</v>
      </c>
      <c r="DH14" s="2">
        <f t="shared" si="16"/>
        <v>185.45351770220807</v>
      </c>
      <c r="DI14" s="2">
        <f t="shared" si="16"/>
        <v>183.59898252518599</v>
      </c>
      <c r="DJ14" s="2">
        <f t="shared" si="16"/>
        <v>181.76299269993413</v>
      </c>
      <c r="DK14" s="2">
        <f t="shared" si="16"/>
        <v>179.9453627729348</v>
      </c>
      <c r="DL14" s="2">
        <f t="shared" si="16"/>
        <v>178.14590914520545</v>
      </c>
      <c r="DM14" s="2">
        <f t="shared" si="16"/>
        <v>176.36445005375339</v>
      </c>
      <c r="DN14" s="2">
        <f t="shared" si="16"/>
        <v>174.60080555321585</v>
      </c>
      <c r="DO14" s="2">
        <f t="shared" si="16"/>
        <v>172.85479749768368</v>
      </c>
      <c r="DP14" s="2">
        <f t="shared" si="16"/>
        <v>171.12624952270684</v>
      </c>
      <c r="DQ14" s="2">
        <f t="shared" si="16"/>
        <v>169.41498702747978</v>
      </c>
      <c r="DR14" s="2">
        <f t="shared" si="16"/>
        <v>167.72083715720498</v>
      </c>
      <c r="DS14" s="2">
        <f t="shared" si="16"/>
        <v>166.04362878563293</v>
      </c>
      <c r="DT14" s="2">
        <f t="shared" si="16"/>
        <v>164.38319249777661</v>
      </c>
      <c r="DU14" s="2">
        <f t="shared" si="16"/>
        <v>162.73936057279883</v>
      </c>
      <c r="DV14" s="2">
        <f t="shared" si="16"/>
        <v>161.11196696707083</v>
      </c>
      <c r="DW14" s="2">
        <f t="shared" si="16"/>
        <v>159.50084729740013</v>
      </c>
      <c r="DX14" s="2">
        <f t="shared" si="16"/>
        <v>157.90583882442613</v>
      </c>
      <c r="DY14" s="2">
        <f t="shared" si="16"/>
        <v>156.32678043618188</v>
      </c>
      <c r="DZ14" s="2">
        <f t="shared" si="16"/>
        <v>154.76351263182005</v>
      </c>
      <c r="EA14" s="2">
        <f t="shared" si="16"/>
        <v>153.21587750550185</v>
      </c>
      <c r="EB14" s="2">
        <f t="shared" si="16"/>
        <v>151.68371873044683</v>
      </c>
      <c r="EC14" s="2">
        <f t="shared" si="16"/>
        <v>150.16688154314235</v>
      </c>
      <c r="ED14" s="2">
        <f t="shared" si="16"/>
        <v>148.66521272771092</v>
      </c>
      <c r="EE14" s="2">
        <f t="shared" si="16"/>
        <v>147.17856060043383</v>
      </c>
      <c r="EF14" s="2">
        <f t="shared" si="16"/>
        <v>145.70677499442948</v>
      </c>
    </row>
    <row r="15" spans="2:136" x14ac:dyDescent="0.3">
      <c r="B15" s="1" t="s">
        <v>2</v>
      </c>
      <c r="M15" s="6">
        <f>3031.5</f>
        <v>3031.5</v>
      </c>
      <c r="N15" s="6">
        <f>3031.5</f>
        <v>3031.5</v>
      </c>
      <c r="Q15" s="6">
        <f>3031.5</f>
        <v>3031.5</v>
      </c>
      <c r="R15" s="6">
        <f>3031.5</f>
        <v>3031.5</v>
      </c>
      <c r="X15" s="6">
        <f t="shared" ref="X15:AD15" si="17">3031.5</f>
        <v>3031.5</v>
      </c>
      <c r="Y15" s="6">
        <f t="shared" si="17"/>
        <v>3031.5</v>
      </c>
      <c r="Z15" s="6">
        <f t="shared" si="17"/>
        <v>3031.5</v>
      </c>
      <c r="AA15" s="6">
        <f t="shared" si="17"/>
        <v>3031.5</v>
      </c>
      <c r="AB15" s="6">
        <f t="shared" si="17"/>
        <v>3031.5</v>
      </c>
      <c r="AC15" s="6">
        <f t="shared" si="17"/>
        <v>3031.5</v>
      </c>
      <c r="AD15" s="6">
        <f t="shared" si="17"/>
        <v>3031.5</v>
      </c>
      <c r="AE15" s="6">
        <f t="shared" ref="AE15:AN15" si="18">3031.5</f>
        <v>3031.5</v>
      </c>
      <c r="AF15" s="6">
        <f t="shared" si="18"/>
        <v>3031.5</v>
      </c>
      <c r="AG15" s="6">
        <f t="shared" si="18"/>
        <v>3031.5</v>
      </c>
      <c r="AH15" s="6">
        <f t="shared" si="18"/>
        <v>3031.5</v>
      </c>
      <c r="AI15" s="6">
        <f t="shared" si="18"/>
        <v>3031.5</v>
      </c>
      <c r="AJ15" s="6">
        <f t="shared" si="18"/>
        <v>3031.5</v>
      </c>
      <c r="AK15" s="6">
        <f t="shared" si="18"/>
        <v>3031.5</v>
      </c>
      <c r="AL15" s="6">
        <f t="shared" si="18"/>
        <v>3031.5</v>
      </c>
      <c r="AM15" s="6">
        <f t="shared" si="18"/>
        <v>3031.5</v>
      </c>
      <c r="AN15" s="6">
        <f t="shared" si="18"/>
        <v>3031.5</v>
      </c>
    </row>
    <row r="16" spans="2:136" x14ac:dyDescent="0.3">
      <c r="B16" s="1" t="s">
        <v>24</v>
      </c>
      <c r="M16" s="8">
        <f>M14/M15</f>
        <v>-0.20811479465611082</v>
      </c>
      <c r="N16" s="8">
        <f>N14/N15</f>
        <v>-0.21563582384957938</v>
      </c>
      <c r="Q16" s="8">
        <f>Q14/Q15</f>
        <v>-0.32742866567705758</v>
      </c>
      <c r="R16" s="8">
        <f>R14/R15</f>
        <v>-0.13102424542305793</v>
      </c>
      <c r="X16" s="8">
        <f t="shared" ref="X16:AD16" si="19">X14/X15</f>
        <v>-9.1472868217054248E-2</v>
      </c>
      <c r="Y16" s="8">
        <f t="shared" si="19"/>
        <v>-0.23727527626587497</v>
      </c>
      <c r="Z16" s="8">
        <f t="shared" si="19"/>
        <v>-0.85096486887679379</v>
      </c>
      <c r="AA16" s="8">
        <f t="shared" si="19"/>
        <v>-0.43031502556490187</v>
      </c>
      <c r="AB16" s="8">
        <f t="shared" si="19"/>
        <v>-0.93297047666171873</v>
      </c>
      <c r="AC16" s="8">
        <f t="shared" si="19"/>
        <v>-0.89526636978393548</v>
      </c>
      <c r="AD16" s="8">
        <f t="shared" si="19"/>
        <v>-0.83599868052119408</v>
      </c>
      <c r="AE16" s="8">
        <f t="shared" ref="AE16:AN16" si="20">AE14/AE15</f>
        <v>-0.76974265215239979</v>
      </c>
      <c r="AF16" s="8">
        <f t="shared" si="20"/>
        <v>-0.64117595200395849</v>
      </c>
      <c r="AG16" s="8">
        <f t="shared" si="20"/>
        <v>-0.50652488223156855</v>
      </c>
      <c r="AH16" s="8">
        <f t="shared" si="20"/>
        <v>-0.42169961286981694</v>
      </c>
      <c r="AI16" s="8">
        <f t="shared" si="20"/>
        <v>-0.35627974299529891</v>
      </c>
      <c r="AJ16" s="8">
        <f t="shared" si="20"/>
        <v>-0.28913604193273584</v>
      </c>
      <c r="AK16" s="8">
        <f t="shared" si="20"/>
        <v>-0.20463810932457982</v>
      </c>
      <c r="AL16" s="8">
        <f t="shared" si="20"/>
        <v>-9.8644967009725207E-2</v>
      </c>
      <c r="AM16" s="8">
        <f t="shared" si="20"/>
        <v>3.4052417388214908E-3</v>
      </c>
      <c r="AN16" s="8">
        <f t="shared" si="20"/>
        <v>0.1261372887645833</v>
      </c>
    </row>
    <row r="18" spans="2:43" s="2" customFormat="1" x14ac:dyDescent="0.3">
      <c r="B18" s="2" t="s">
        <v>44</v>
      </c>
      <c r="M18" s="11"/>
      <c r="Q18" s="11">
        <f>Q3/M3-1</f>
        <v>0.45137880986937584</v>
      </c>
      <c r="R18" s="11">
        <f>R3/N3-1</f>
        <v>0.49173027989821905</v>
      </c>
      <c r="X18" s="11"/>
      <c r="Y18" s="11">
        <f t="shared" ref="Y18:AA18" si="21">Y3/X3-1</f>
        <v>-0.13043478260869557</v>
      </c>
      <c r="Z18" s="11">
        <f t="shared" si="21"/>
        <v>5.7750000000000004</v>
      </c>
      <c r="AA18" s="11">
        <f t="shared" si="21"/>
        <v>21.44280442804428</v>
      </c>
      <c r="AB18" s="11">
        <f t="shared" ref="AB18" si="22">AB3/AA3-1</f>
        <v>-2.1210128247287185E-2</v>
      </c>
      <c r="AC18" s="11">
        <f>AC3/AB3-1</f>
        <v>0.35696287586091047</v>
      </c>
      <c r="AD18" s="11">
        <f t="shared" ref="AD18:AN18" si="23">AD3/AC3-1</f>
        <v>0.49999999999999978</v>
      </c>
      <c r="AE18" s="11">
        <f t="shared" si="23"/>
        <v>0.39999999999999991</v>
      </c>
      <c r="AF18" s="11">
        <f t="shared" si="23"/>
        <v>0.35000000000000009</v>
      </c>
      <c r="AG18" s="11">
        <f t="shared" si="23"/>
        <v>0.30000000000000004</v>
      </c>
      <c r="AH18" s="11">
        <f t="shared" si="23"/>
        <v>0.25</v>
      </c>
      <c r="AI18" s="11">
        <f t="shared" si="23"/>
        <v>0.19999999999999996</v>
      </c>
      <c r="AJ18" s="11">
        <f t="shared" si="23"/>
        <v>0.19999999999999996</v>
      </c>
      <c r="AK18" s="11">
        <f t="shared" si="23"/>
        <v>0.19999999999999996</v>
      </c>
      <c r="AL18" s="11">
        <f t="shared" si="23"/>
        <v>0.19999999999999996</v>
      </c>
      <c r="AM18" s="11">
        <f t="shared" si="23"/>
        <v>0.19999999999999996</v>
      </c>
      <c r="AN18" s="11">
        <f t="shared" si="23"/>
        <v>0.19999999999999996</v>
      </c>
    </row>
    <row r="19" spans="2:43" x14ac:dyDescent="0.3">
      <c r="B19" s="1" t="s">
        <v>45</v>
      </c>
      <c r="M19" s="10">
        <f>M5/M3</f>
        <v>-2.408563134978229</v>
      </c>
      <c r="N19" s="10">
        <f>N5/N3</f>
        <v>-1.608142493638677</v>
      </c>
      <c r="Q19" s="10">
        <f>Q5/Q3</f>
        <v>-1.0625</v>
      </c>
      <c r="R19" s="10">
        <f>R5/R3</f>
        <v>-0.88997867803837949</v>
      </c>
      <c r="X19" s="10">
        <f t="shared" ref="X19:AA19" si="24">X5/X3</f>
        <v>0.15217391304347822</v>
      </c>
      <c r="Y19" s="10">
        <f t="shared" si="24"/>
        <v>0.22499999999999998</v>
      </c>
      <c r="Z19" s="10">
        <f t="shared" si="24"/>
        <v>-4.7158671586715872</v>
      </c>
      <c r="AA19" s="10">
        <f t="shared" si="24"/>
        <v>-1.7065110161131203</v>
      </c>
      <c r="AB19" s="10">
        <f t="shared" ref="AB19" si="25">AB5/AB3</f>
        <v>-2.2523097597849824</v>
      </c>
      <c r="AC19" s="10">
        <f>AC5/AC3</f>
        <v>-1.1427333498390693</v>
      </c>
      <c r="AD19" s="10">
        <f t="shared" ref="AD19:AN19" si="26">AD5/AD3</f>
        <v>-0.6</v>
      </c>
      <c r="AE19" s="10">
        <f t="shared" si="26"/>
        <v>-0.3</v>
      </c>
      <c r="AF19" s="10">
        <f t="shared" si="26"/>
        <v>-0.05</v>
      </c>
      <c r="AG19" s="10">
        <f t="shared" si="26"/>
        <v>9.9999999999999992E-2</v>
      </c>
      <c r="AH19" s="10">
        <f t="shared" si="26"/>
        <v>0.15</v>
      </c>
      <c r="AI19" s="10">
        <f t="shared" si="26"/>
        <v>0.17</v>
      </c>
      <c r="AJ19" s="10">
        <f t="shared" si="26"/>
        <v>0.18</v>
      </c>
      <c r="AK19" s="10">
        <f t="shared" si="26"/>
        <v>0.19</v>
      </c>
      <c r="AL19" s="10">
        <f t="shared" si="26"/>
        <v>0.2</v>
      </c>
      <c r="AM19" s="10">
        <f t="shared" si="26"/>
        <v>0.2</v>
      </c>
      <c r="AN19" s="10">
        <f t="shared" si="26"/>
        <v>0.19999999999999998</v>
      </c>
      <c r="AP19" s="1" t="s">
        <v>50</v>
      </c>
      <c r="AQ19" s="10">
        <v>-0.01</v>
      </c>
    </row>
    <row r="20" spans="2:43" x14ac:dyDescent="0.3">
      <c r="B20" s="1" t="s">
        <v>46</v>
      </c>
      <c r="M20" s="10"/>
      <c r="N20" s="10"/>
      <c r="Q20" s="10">
        <f>Q6/M6-1</f>
        <v>0.40554592720970528</v>
      </c>
      <c r="R20" s="10">
        <f>R6/N6-1</f>
        <v>0.15349794238683123</v>
      </c>
      <c r="X20" s="10"/>
      <c r="Y20" s="10">
        <f t="shared" ref="Y20:AA20" si="27">Y6/X6-1</f>
        <v>1.3210717529518621</v>
      </c>
      <c r="Z20" s="10">
        <f t="shared" si="27"/>
        <v>0.46781451770690663</v>
      </c>
      <c r="AA20" s="10">
        <f t="shared" si="27"/>
        <v>9.5041322314049603E-2</v>
      </c>
      <c r="AB20" s="10">
        <f t="shared" ref="AB20" si="28">AB6/AA6-1</f>
        <v>0.1405964698721851</v>
      </c>
      <c r="AC20" s="10">
        <f>AC6/AB6-1</f>
        <v>0.25560298826040562</v>
      </c>
      <c r="AD20" s="10">
        <f t="shared" ref="AD20:AN20" si="29">AD6/AC6-1</f>
        <v>3.0000000000000027E-2</v>
      </c>
      <c r="AE20" s="10">
        <f t="shared" si="29"/>
        <v>2.0000000000000018E-2</v>
      </c>
      <c r="AF20" s="10">
        <f t="shared" si="29"/>
        <v>1.0000000000000009E-2</v>
      </c>
      <c r="AG20" s="10">
        <f t="shared" si="29"/>
        <v>1.0000000000000009E-2</v>
      </c>
      <c r="AH20" s="10">
        <f t="shared" si="29"/>
        <v>1.0000000000000009E-2</v>
      </c>
      <c r="AI20" s="10">
        <f t="shared" si="29"/>
        <v>1.0000000000000009E-2</v>
      </c>
      <c r="AJ20" s="10">
        <f t="shared" si="29"/>
        <v>1.0000000000000009E-2</v>
      </c>
      <c r="AK20" s="10">
        <f t="shared" si="29"/>
        <v>1.0000000000000009E-2</v>
      </c>
      <c r="AL20" s="10">
        <f t="shared" si="29"/>
        <v>1.0000000000000009E-2</v>
      </c>
      <c r="AM20" s="10">
        <f t="shared" si="29"/>
        <v>1.0000000000000009E-2</v>
      </c>
      <c r="AN20" s="10">
        <f t="shared" si="29"/>
        <v>1.0000000000000009E-2</v>
      </c>
      <c r="AP20" s="1" t="s">
        <v>51</v>
      </c>
      <c r="AQ20" s="10">
        <v>0.1</v>
      </c>
    </row>
    <row r="21" spans="2:43" x14ac:dyDescent="0.3">
      <c r="B21" s="1" t="s">
        <v>47</v>
      </c>
      <c r="M21" s="10"/>
      <c r="N21" s="10"/>
      <c r="Q21" s="10">
        <f>Q7/M7-1</f>
        <v>0.23141802846599901</v>
      </c>
      <c r="R21" s="10">
        <f>R7/N7-1</f>
        <v>1.2033195020746845E-2</v>
      </c>
      <c r="X21" s="10"/>
      <c r="Y21" s="10">
        <f t="shared" ref="Y21:AA21" si="30">Y7/X7-1</f>
        <v>1.3177083333333335</v>
      </c>
      <c r="Z21" s="10">
        <f t="shared" si="30"/>
        <v>6.3314606741573032</v>
      </c>
      <c r="AA21" s="10">
        <f t="shared" si="30"/>
        <v>0.12582375478927199</v>
      </c>
      <c r="AB21" s="10">
        <f t="shared" ref="AB21" si="31">AB7/AA7-1</f>
        <v>8.5216444323441332E-2</v>
      </c>
      <c r="AC21" s="10">
        <f>AC7/AB7-1</f>
        <v>0.13020572002007014</v>
      </c>
      <c r="AD21" s="10">
        <f t="shared" ref="AD21:AN21" si="32">AD7/AC7-1</f>
        <v>2.0000000000000018E-2</v>
      </c>
      <c r="AE21" s="10">
        <f t="shared" si="32"/>
        <v>1.0000000000000009E-2</v>
      </c>
      <c r="AF21" s="10">
        <f t="shared" si="32"/>
        <v>1.0000000000000009E-2</v>
      </c>
      <c r="AG21" s="10">
        <f t="shared" si="32"/>
        <v>1.0000000000000009E-2</v>
      </c>
      <c r="AH21" s="10">
        <f t="shared" si="32"/>
        <v>1.0000000000000009E-2</v>
      </c>
      <c r="AI21" s="10">
        <f t="shared" si="32"/>
        <v>1.0000000000000009E-2</v>
      </c>
      <c r="AJ21" s="10">
        <f t="shared" si="32"/>
        <v>1.0000000000000009E-2</v>
      </c>
      <c r="AK21" s="10">
        <f t="shared" si="32"/>
        <v>1.0000000000000009E-2</v>
      </c>
      <c r="AL21" s="10">
        <f t="shared" si="32"/>
        <v>1.0000000000000009E-2</v>
      </c>
      <c r="AM21" s="10">
        <f t="shared" si="32"/>
        <v>1.0000000000000009E-2</v>
      </c>
      <c r="AN21" s="10">
        <f t="shared" si="32"/>
        <v>1.0000000000000009E-2</v>
      </c>
      <c r="AP21" s="1" t="s">
        <v>52</v>
      </c>
      <c r="AQ21" s="12">
        <f>NPV(AQ20,AD14:EF14)</f>
        <v>-7666.8559480198273</v>
      </c>
    </row>
    <row r="22" spans="2:43" x14ac:dyDescent="0.3">
      <c r="B22" s="1" t="s">
        <v>48</v>
      </c>
      <c r="M22" s="10">
        <f>M10/M3</f>
        <v>-5.4637155297532649</v>
      </c>
      <c r="N22" s="10">
        <f>N10/N3</f>
        <v>-4.6870229007633588</v>
      </c>
      <c r="Q22" s="10">
        <f>Q10/Q3</f>
        <v>-3.8530000000000002</v>
      </c>
      <c r="R22" s="10">
        <f>R10/R3</f>
        <v>-3.1253731343283584</v>
      </c>
      <c r="X22" s="10">
        <f t="shared" ref="X22:AA22" si="33">X10/X3</f>
        <v>-56.065217391304344</v>
      </c>
      <c r="Y22" s="10">
        <f t="shared" si="33"/>
        <v>-149.80000000000001</v>
      </c>
      <c r="Z22" s="10">
        <f t="shared" si="33"/>
        <v>-56.476014760147599</v>
      </c>
      <c r="AA22" s="10">
        <f t="shared" si="33"/>
        <v>-4.2650443932916797</v>
      </c>
      <c r="AB22" s="10">
        <f t="shared" ref="AB22" si="34">AB10/AB3</f>
        <v>-5.2066185116747858</v>
      </c>
      <c r="AC22" s="10">
        <f>AC10/AC3</f>
        <v>-3.7396632829908403</v>
      </c>
      <c r="AD22" s="10">
        <f t="shared" ref="AD22:AN22" si="35">AD10/AD3</f>
        <v>-2.3585334653792196</v>
      </c>
      <c r="AE22" s="10">
        <f t="shared" si="35"/>
        <v>-1.575799702896757</v>
      </c>
      <c r="AF22" s="10">
        <f t="shared" si="35"/>
        <v>-1.0044871851301662</v>
      </c>
      <c r="AG22" s="10">
        <f t="shared" si="35"/>
        <v>-0.64156312075497535</v>
      </c>
      <c r="AH22" s="10">
        <f t="shared" si="35"/>
        <v>-0.44918300157002</v>
      </c>
      <c r="AI22" s="10">
        <f t="shared" si="35"/>
        <v>-0.33431235965476686</v>
      </c>
      <c r="AJ22" s="10">
        <f t="shared" si="35"/>
        <v>-0.24446290270942883</v>
      </c>
      <c r="AK22" s="10">
        <f t="shared" si="35"/>
        <v>-0.16725627644710256</v>
      </c>
      <c r="AL22" s="10">
        <f t="shared" si="35"/>
        <v>-0.10069069934297799</v>
      </c>
      <c r="AM22" s="10">
        <f t="shared" si="35"/>
        <v>-5.3081338613673139E-2</v>
      </c>
      <c r="AN22" s="10">
        <f t="shared" si="35"/>
        <v>-1.3010126666508283E-2</v>
      </c>
      <c r="AP22" s="1" t="s">
        <v>53</v>
      </c>
      <c r="AQ22" s="6">
        <f>Main!D8</f>
        <v>2028.8</v>
      </c>
    </row>
    <row r="23" spans="2:43" x14ac:dyDescent="0.3">
      <c r="B23" s="1" t="s">
        <v>22</v>
      </c>
      <c r="M23" s="10">
        <f>M13/M12</f>
        <v>-4.7573739295908655E-4</v>
      </c>
      <c r="N23" s="10">
        <f>N13/N12</f>
        <v>0</v>
      </c>
      <c r="Q23" s="10">
        <f>Q13/Q12</f>
        <v>-5.0398145348251188E-4</v>
      </c>
      <c r="R23" s="10">
        <f>R13/R12</f>
        <v>-1.5128593040847197E-3</v>
      </c>
      <c r="X23" s="10">
        <f t="shared" ref="X23:AA23" si="36">X13/X12</f>
        <v>0</v>
      </c>
      <c r="Y23" s="10">
        <f t="shared" si="36"/>
        <v>2.7797081306462821E-4</v>
      </c>
      <c r="Z23" s="10">
        <f t="shared" si="36"/>
        <v>3.8762694782541279E-5</v>
      </c>
      <c r="AA23" s="10">
        <f t="shared" si="36"/>
        <v>-3.0672494440610386E-4</v>
      </c>
      <c r="AB23" s="10">
        <f t="shared" ref="AB23" si="37">AB13/AB12</f>
        <v>-3.5369433735365894E-4</v>
      </c>
      <c r="AC23" s="10">
        <f>AC13/AC12</f>
        <v>-4.4234739015039799E-4</v>
      </c>
      <c r="AD23" s="10">
        <f t="shared" ref="AD23:AN23" si="38">AD13/AD12</f>
        <v>0</v>
      </c>
      <c r="AE23" s="10">
        <f t="shared" si="38"/>
        <v>0</v>
      </c>
      <c r="AF23" s="10">
        <f t="shared" si="38"/>
        <v>0</v>
      </c>
      <c r="AG23" s="10">
        <f t="shared" si="38"/>
        <v>0</v>
      </c>
      <c r="AH23" s="10">
        <f t="shared" si="38"/>
        <v>0</v>
      </c>
      <c r="AI23" s="10">
        <f t="shared" si="38"/>
        <v>0</v>
      </c>
      <c r="AJ23" s="10">
        <f t="shared" si="38"/>
        <v>0</v>
      </c>
      <c r="AK23" s="10">
        <f t="shared" si="38"/>
        <v>0</v>
      </c>
      <c r="AL23" s="10">
        <f t="shared" si="38"/>
        <v>0</v>
      </c>
      <c r="AM23" s="10">
        <f t="shared" si="38"/>
        <v>0</v>
      </c>
      <c r="AN23" s="10">
        <f t="shared" si="38"/>
        <v>0</v>
      </c>
      <c r="AP23" s="1" t="s">
        <v>54</v>
      </c>
      <c r="AQ23" s="12">
        <f>AQ21+AQ22</f>
        <v>-5638.0559480198272</v>
      </c>
    </row>
    <row r="24" spans="2:43" x14ac:dyDescent="0.3">
      <c r="B24" s="1" t="s">
        <v>49</v>
      </c>
      <c r="M24" s="10">
        <f>M14/M3</f>
        <v>-4.5783744557329458</v>
      </c>
      <c r="N24" s="10">
        <f>N14/N3</f>
        <v>-4.1583969465648858</v>
      </c>
      <c r="Q24" s="10">
        <f>Q14/Q3</f>
        <v>-4.9630000000000001</v>
      </c>
      <c r="R24" s="10">
        <f>R14/R3</f>
        <v>-1.6938166311300644</v>
      </c>
      <c r="X24" s="10">
        <f t="shared" ref="X24:AA24" si="39">X14/X3</f>
        <v>-60.282608695652172</v>
      </c>
      <c r="Y24" s="10">
        <f t="shared" si="39"/>
        <v>-179.82499999999999</v>
      </c>
      <c r="Z24" s="10">
        <f t="shared" si="39"/>
        <v>-95.191881918819192</v>
      </c>
      <c r="AA24" s="10">
        <f t="shared" si="39"/>
        <v>-2.1448536665570535</v>
      </c>
      <c r="AB24" s="10">
        <f t="shared" ref="AB24" si="40">AB14/AB3</f>
        <v>-4.7510498908113563</v>
      </c>
      <c r="AC24" s="10">
        <f>AC14/AC3</f>
        <v>-3.3597425105224072</v>
      </c>
      <c r="AD24" s="10">
        <f t="shared" ref="AD24:AN24" si="41">AD14/AD3</f>
        <v>-2.0915490632994969</v>
      </c>
      <c r="AE24" s="10">
        <f t="shared" si="41"/>
        <v>-1.3755614013369648</v>
      </c>
      <c r="AF24" s="10">
        <f t="shared" si="41"/>
        <v>-0.84874628391699458</v>
      </c>
      <c r="AG24" s="10">
        <f t="shared" si="41"/>
        <v>-0.51577239285202903</v>
      </c>
      <c r="AH24" s="10">
        <f t="shared" si="41"/>
        <v>-0.34351879013154513</v>
      </c>
      <c r="AI24" s="10">
        <f t="shared" si="41"/>
        <v>-0.24185617464610135</v>
      </c>
      <c r="AJ24" s="10">
        <f t="shared" si="41"/>
        <v>-0.16356374082684647</v>
      </c>
      <c r="AK24" s="10">
        <f t="shared" si="41"/>
        <v>-9.6469509799842978E-2</v>
      </c>
      <c r="AL24" s="10">
        <f t="shared" si="41"/>
        <v>-3.8752278526625848E-2</v>
      </c>
      <c r="AM24" s="10">
        <f t="shared" si="41"/>
        <v>1.1147796006349753E-3</v>
      </c>
      <c r="AN24" s="10">
        <f t="shared" si="41"/>
        <v>3.4411476771011321E-2</v>
      </c>
      <c r="AP24" s="1" t="s">
        <v>55</v>
      </c>
      <c r="AQ24" s="5">
        <f>AQ23/AN15</f>
        <v>-1.8598238324327321</v>
      </c>
    </row>
    <row r="25" spans="2:43" x14ac:dyDescent="0.3">
      <c r="AP25" s="1" t="s">
        <v>56</v>
      </c>
      <c r="AQ25" s="5">
        <f>Main!D3</f>
        <v>2.46</v>
      </c>
    </row>
    <row r="26" spans="2:43" x14ac:dyDescent="0.3">
      <c r="AP26" s="2" t="s">
        <v>57</v>
      </c>
      <c r="AQ26" s="11">
        <f>AQ24/AQ25-1</f>
        <v>-1.7560259481433871</v>
      </c>
    </row>
    <row r="27" spans="2:43" x14ac:dyDescent="0.3">
      <c r="AP27" s="1" t="s">
        <v>58</v>
      </c>
      <c r="AQ27" s="7" t="s">
        <v>59</v>
      </c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Mniszek</dc:creator>
  <cp:lastModifiedBy>Anton Mniszek</cp:lastModifiedBy>
  <dcterms:created xsi:type="dcterms:W3CDTF">2025-04-24T18:38:34Z</dcterms:created>
  <dcterms:modified xsi:type="dcterms:W3CDTF">2025-05-05T14:44:23Z</dcterms:modified>
</cp:coreProperties>
</file>