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242A05D8-8248-4B1D-8CA5-4A8BEC5E0584}" xr6:coauthVersionLast="47" xr6:coauthVersionMax="47" xr10:uidLastSave="{00000000-0000-0000-0000-000000000000}"/>
  <bookViews>
    <workbookView xWindow="-108" yWindow="-108" windowWidth="23256" windowHeight="12576" activeTab="1" xr2:uid="{439F4133-7664-46FF-BA84-0DE877A2D3C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5" i="2" l="1"/>
  <c r="BE5" i="2"/>
  <c r="BD5" i="2"/>
  <c r="BC5" i="2"/>
  <c r="BB5" i="2"/>
  <c r="BA5" i="2"/>
  <c r="AZ5" i="2"/>
  <c r="AY5" i="2"/>
  <c r="AX5" i="2"/>
  <c r="AW5" i="2"/>
  <c r="D6" i="1"/>
  <c r="AW17" i="2"/>
  <c r="AW15" i="2"/>
  <c r="AW14" i="2"/>
  <c r="AW11" i="2"/>
  <c r="AW10" i="2"/>
  <c r="AW9" i="2"/>
  <c r="AW8" i="2"/>
  <c r="AW7" i="2"/>
  <c r="AW6" i="2"/>
  <c r="AW4" i="2"/>
  <c r="AW3" i="2"/>
  <c r="AL19" i="2"/>
  <c r="AK19" i="2"/>
  <c r="AJ19" i="2"/>
  <c r="AL14" i="2"/>
  <c r="AK14" i="2"/>
  <c r="AJ14" i="2"/>
  <c r="AL12" i="2"/>
  <c r="AL13" i="2" s="1"/>
  <c r="AL16" i="2" s="1"/>
  <c r="AK12" i="2"/>
  <c r="AK13" i="2" s="1"/>
  <c r="AK16" i="2" s="1"/>
  <c r="AJ12" i="2"/>
  <c r="AJ13" i="2" s="1"/>
  <c r="AJ16" i="2" s="1"/>
  <c r="AV3" i="2"/>
  <c r="AV4" i="2"/>
  <c r="AV6" i="2"/>
  <c r="AV7" i="2"/>
  <c r="AV8" i="2"/>
  <c r="AV9" i="2"/>
  <c r="AV10" i="2"/>
  <c r="AV11" i="2"/>
  <c r="AV14" i="2"/>
  <c r="AV15" i="2"/>
  <c r="AV17" i="2"/>
  <c r="AX14" i="2"/>
  <c r="AY14" i="2" s="1"/>
  <c r="AZ14" i="2" s="1"/>
  <c r="BA14" i="2" s="1"/>
  <c r="BB14" i="2" s="1"/>
  <c r="BC14" i="2" s="1"/>
  <c r="BD14" i="2" s="1"/>
  <c r="BE14" i="2" s="1"/>
  <c r="BF14" i="2" s="1"/>
  <c r="AI19" i="2"/>
  <c r="AI14" i="2"/>
  <c r="AI12" i="2"/>
  <c r="AI13" i="2" s="1"/>
  <c r="AI24" i="2" s="1"/>
  <c r="AL8" i="2"/>
  <c r="AL27" i="2" s="1"/>
  <c r="AK8" i="2"/>
  <c r="AK27" i="2" s="1"/>
  <c r="AJ8" i="2"/>
  <c r="AJ27" i="2" s="1"/>
  <c r="AI8" i="2"/>
  <c r="AI27" i="2" s="1"/>
  <c r="AL7" i="2"/>
  <c r="AK7" i="2"/>
  <c r="AK26" i="2" s="1"/>
  <c r="AJ7" i="2"/>
  <c r="AJ26" i="2" s="1"/>
  <c r="AI7" i="2"/>
  <c r="AL6" i="2"/>
  <c r="AL25" i="2" s="1"/>
  <c r="AK6" i="2"/>
  <c r="AK25" i="2" s="1"/>
  <c r="AJ6" i="2"/>
  <c r="AI6" i="2"/>
  <c r="AI25" i="2" s="1"/>
  <c r="AL5" i="2"/>
  <c r="AL4" i="2" s="1"/>
  <c r="AK5" i="2"/>
  <c r="AK4" i="2" s="1"/>
  <c r="AJ5" i="2"/>
  <c r="AJ4" i="2"/>
  <c r="AI5" i="2"/>
  <c r="AI23" i="2" s="1"/>
  <c r="AL26" i="2"/>
  <c r="AI26" i="2"/>
  <c r="AJ25" i="2"/>
  <c r="AJ23" i="2"/>
  <c r="AL22" i="2"/>
  <c r="AK22" i="2"/>
  <c r="AJ22" i="2"/>
  <c r="AI22" i="2"/>
  <c r="AL3" i="2"/>
  <c r="AK3" i="2"/>
  <c r="AJ3" i="2"/>
  <c r="AI3" i="2"/>
  <c r="AH9" i="2"/>
  <c r="AH5" i="2"/>
  <c r="BF19" i="2"/>
  <c r="BE19" i="2"/>
  <c r="BD19" i="2"/>
  <c r="BC19" i="2"/>
  <c r="BB19" i="2"/>
  <c r="BA19" i="2"/>
  <c r="AZ19" i="2"/>
  <c r="AY19" i="2"/>
  <c r="AX19" i="2"/>
  <c r="AW19" i="2"/>
  <c r="AV19" i="2"/>
  <c r="AH19" i="2"/>
  <c r="D4" i="1"/>
  <c r="AG19" i="2"/>
  <c r="AG9" i="2"/>
  <c r="AG5" i="2"/>
  <c r="AH27" i="2"/>
  <c r="AG27" i="2"/>
  <c r="AG26" i="2"/>
  <c r="AH26" i="2"/>
  <c r="AU17" i="2"/>
  <c r="AU15" i="2"/>
  <c r="AU14" i="2"/>
  <c r="AU11" i="2"/>
  <c r="AU10" i="2"/>
  <c r="AU8" i="2"/>
  <c r="AU7" i="2"/>
  <c r="AU6" i="2"/>
  <c r="AU4" i="2"/>
  <c r="AU3" i="2"/>
  <c r="AT17" i="2"/>
  <c r="AT15" i="2"/>
  <c r="AT14" i="2"/>
  <c r="AT11" i="2"/>
  <c r="AT10" i="2"/>
  <c r="AT8" i="2"/>
  <c r="AT7" i="2"/>
  <c r="AT6" i="2"/>
  <c r="AT4" i="2"/>
  <c r="AT3" i="2"/>
  <c r="AS3" i="2"/>
  <c r="U9" i="2"/>
  <c r="U12" i="2" s="1"/>
  <c r="U5" i="2"/>
  <c r="V9" i="2"/>
  <c r="V12" i="2" s="1"/>
  <c r="V5" i="2"/>
  <c r="S9" i="2"/>
  <c r="S12" i="2" s="1"/>
  <c r="S5" i="2"/>
  <c r="W9" i="2"/>
  <c r="W5" i="2"/>
  <c r="W23" i="2" s="1"/>
  <c r="T9" i="2"/>
  <c r="T12" i="2" s="1"/>
  <c r="T5" i="2"/>
  <c r="X9" i="2"/>
  <c r="X12" i="2" s="1"/>
  <c r="X5" i="2"/>
  <c r="X23" i="2" s="1"/>
  <c r="Y9" i="2"/>
  <c r="Y12" i="2" s="1"/>
  <c r="Y5" i="2"/>
  <c r="Y23" i="2" s="1"/>
  <c r="AC9" i="2"/>
  <c r="AC12" i="2" s="1"/>
  <c r="AC5" i="2"/>
  <c r="AC23" i="2" s="1"/>
  <c r="Z9" i="2"/>
  <c r="Z12" i="2" s="1"/>
  <c r="Z5" i="2"/>
  <c r="Z23" i="2" s="1"/>
  <c r="AD9" i="2"/>
  <c r="AD12" i="2" s="1"/>
  <c r="AD5" i="2"/>
  <c r="AA9" i="2"/>
  <c r="AA12" i="2" s="1"/>
  <c r="AA5" i="2"/>
  <c r="AA23" i="2" s="1"/>
  <c r="AE9" i="2"/>
  <c r="AE12" i="2" s="1"/>
  <c r="AE5" i="2"/>
  <c r="AE23" i="2" s="1"/>
  <c r="AB9" i="2"/>
  <c r="AB12" i="2" s="1"/>
  <c r="AB5" i="2"/>
  <c r="AB23" i="2" s="1"/>
  <c r="AF27" i="2"/>
  <c r="AE27" i="2"/>
  <c r="AD27" i="2"/>
  <c r="AC27" i="2"/>
  <c r="AB27" i="2"/>
  <c r="AA27" i="2"/>
  <c r="Z27" i="2"/>
  <c r="Y27" i="2"/>
  <c r="X27" i="2"/>
  <c r="W27" i="2"/>
  <c r="AF26" i="2"/>
  <c r="AE26" i="2"/>
  <c r="AD26" i="2"/>
  <c r="AC26" i="2"/>
  <c r="AB26" i="2"/>
  <c r="AA26" i="2"/>
  <c r="Z26" i="2"/>
  <c r="Y26" i="2"/>
  <c r="X26" i="2"/>
  <c r="W26" i="2"/>
  <c r="AF25" i="2"/>
  <c r="AE25" i="2"/>
  <c r="AD25" i="2"/>
  <c r="AC25" i="2"/>
  <c r="AB25" i="2"/>
  <c r="AA25" i="2"/>
  <c r="Z25" i="2"/>
  <c r="Y25" i="2"/>
  <c r="X25" i="2"/>
  <c r="W25" i="2"/>
  <c r="AF22" i="2"/>
  <c r="AE22" i="2"/>
  <c r="AD22" i="2"/>
  <c r="AC22" i="2"/>
  <c r="AB22" i="2"/>
  <c r="AA22" i="2"/>
  <c r="Z22" i="2"/>
  <c r="Y22" i="2"/>
  <c r="X22" i="2"/>
  <c r="W22" i="2"/>
  <c r="AF9" i="2"/>
  <c r="AF12" i="2" s="1"/>
  <c r="AF5" i="2"/>
  <c r="AF23" i="2" s="1"/>
  <c r="AK17" i="2" l="1"/>
  <c r="AK18" i="2"/>
  <c r="AK20" i="2" s="1"/>
  <c r="AL17" i="2"/>
  <c r="AL18" i="2"/>
  <c r="AL20" i="2" s="1"/>
  <c r="AJ17" i="2"/>
  <c r="AJ18" i="2" s="1"/>
  <c r="AJ20" i="2" s="1"/>
  <c r="AK24" i="2"/>
  <c r="AL24" i="2"/>
  <c r="AJ24" i="2"/>
  <c r="AI16" i="2"/>
  <c r="AI17" i="2" s="1"/>
  <c r="AI28" i="2" s="1"/>
  <c r="AK23" i="2"/>
  <c r="AL23" i="2"/>
  <c r="AI4" i="2"/>
  <c r="AU5" i="2"/>
  <c r="AX9" i="2"/>
  <c r="AY9" i="2" s="1"/>
  <c r="AZ9" i="2" s="1"/>
  <c r="BA9" i="2" s="1"/>
  <c r="BB9" i="2" s="1"/>
  <c r="BC9" i="2" s="1"/>
  <c r="BD9" i="2" s="1"/>
  <c r="BE9" i="2" s="1"/>
  <c r="BF9" i="2" s="1"/>
  <c r="AF13" i="2"/>
  <c r="AF16" i="2" s="1"/>
  <c r="AF28" i="2" s="1"/>
  <c r="AG12" i="2"/>
  <c r="AT5" i="2"/>
  <c r="AT9" i="2"/>
  <c r="AU9" i="2"/>
  <c r="AG23" i="2"/>
  <c r="AH23" i="2"/>
  <c r="W12" i="2"/>
  <c r="W13" i="2" s="1"/>
  <c r="AH25" i="2"/>
  <c r="AH22" i="2"/>
  <c r="AG22" i="2"/>
  <c r="AG25" i="2"/>
  <c r="U13" i="2"/>
  <c r="U16" i="2" s="1"/>
  <c r="U18" i="2" s="1"/>
  <c r="U20" i="2" s="1"/>
  <c r="V13" i="2"/>
  <c r="V16" i="2" s="1"/>
  <c r="V18" i="2" s="1"/>
  <c r="V20" i="2" s="1"/>
  <c r="S13" i="2"/>
  <c r="S16" i="2" s="1"/>
  <c r="S18" i="2" s="1"/>
  <c r="S20" i="2" s="1"/>
  <c r="T13" i="2"/>
  <c r="T16" i="2" s="1"/>
  <c r="T18" i="2" s="1"/>
  <c r="T20" i="2" s="1"/>
  <c r="X13" i="2"/>
  <c r="Y13" i="2"/>
  <c r="AC13" i="2"/>
  <c r="Z13" i="2"/>
  <c r="Z24" i="2" s="1"/>
  <c r="AD13" i="2"/>
  <c r="AD16" i="2" s="1"/>
  <c r="AD28" i="2" s="1"/>
  <c r="AD23" i="2"/>
  <c r="AA13" i="2"/>
  <c r="AE13" i="2"/>
  <c r="AB13" i="2"/>
  <c r="BI30" i="2"/>
  <c r="V27" i="2"/>
  <c r="U27" i="2"/>
  <c r="T27" i="2"/>
  <c r="S27" i="2"/>
  <c r="V26" i="2"/>
  <c r="U26" i="2"/>
  <c r="T26" i="2"/>
  <c r="S22" i="2"/>
  <c r="AS15" i="2"/>
  <c r="AS10" i="2"/>
  <c r="AS9" i="2"/>
  <c r="AS11" i="2"/>
  <c r="AR17" i="2"/>
  <c r="AR15" i="2"/>
  <c r="AR14" i="2"/>
  <c r="AR11" i="2"/>
  <c r="AR10" i="2"/>
  <c r="AR8" i="2"/>
  <c r="AR7" i="2"/>
  <c r="AR6" i="2"/>
  <c r="AR4" i="2"/>
  <c r="AR3" i="2"/>
  <c r="AQ17" i="2"/>
  <c r="AQ15" i="2"/>
  <c r="AQ14" i="2"/>
  <c r="AQ10" i="2"/>
  <c r="AQ8" i="2"/>
  <c r="AQ7" i="2"/>
  <c r="AQ6" i="2"/>
  <c r="AQ4" i="2"/>
  <c r="AQ3" i="2"/>
  <c r="AQ11" i="2"/>
  <c r="AO11" i="2"/>
  <c r="AP11" i="2"/>
  <c r="AP17" i="2"/>
  <c r="AP15" i="2"/>
  <c r="AP14" i="2"/>
  <c r="AP10" i="2"/>
  <c r="AP8" i="2"/>
  <c r="AP7" i="2"/>
  <c r="AP6" i="2"/>
  <c r="AP4" i="2"/>
  <c r="AP3" i="2"/>
  <c r="AO17" i="2"/>
  <c r="AO15" i="2"/>
  <c r="AO14" i="2"/>
  <c r="AO10" i="2"/>
  <c r="AO8" i="2"/>
  <c r="AO7" i="2"/>
  <c r="AO6" i="2"/>
  <c r="AO4" i="2"/>
  <c r="AO3" i="2"/>
  <c r="R27" i="2"/>
  <c r="Q27" i="2"/>
  <c r="P27" i="2"/>
  <c r="O27" i="2"/>
  <c r="N27" i="2"/>
  <c r="M27" i="2"/>
  <c r="L27" i="2"/>
  <c r="K27" i="2"/>
  <c r="J27" i="2"/>
  <c r="I27" i="2"/>
  <c r="H27" i="2"/>
  <c r="R26" i="2"/>
  <c r="Q26" i="2"/>
  <c r="P26" i="2"/>
  <c r="O26" i="2"/>
  <c r="N26" i="2"/>
  <c r="M26" i="2"/>
  <c r="L26" i="2"/>
  <c r="K26" i="2"/>
  <c r="J26" i="2"/>
  <c r="I26" i="2"/>
  <c r="H26" i="2"/>
  <c r="R25" i="2"/>
  <c r="Q25" i="2"/>
  <c r="P25" i="2"/>
  <c r="O25" i="2"/>
  <c r="N25" i="2"/>
  <c r="M25" i="2"/>
  <c r="L25" i="2"/>
  <c r="K25" i="2"/>
  <c r="J25" i="2"/>
  <c r="I25" i="2"/>
  <c r="H25" i="2"/>
  <c r="R22" i="2"/>
  <c r="Q22" i="2"/>
  <c r="P22" i="2"/>
  <c r="O22" i="2"/>
  <c r="N22" i="2"/>
  <c r="M22" i="2"/>
  <c r="L22" i="2"/>
  <c r="K22" i="2"/>
  <c r="J22" i="2"/>
  <c r="I22" i="2"/>
  <c r="H22" i="2"/>
  <c r="F25" i="2"/>
  <c r="E25" i="2"/>
  <c r="D25" i="2"/>
  <c r="C25" i="2"/>
  <c r="G25" i="2"/>
  <c r="G27" i="2"/>
  <c r="G26" i="2"/>
  <c r="G22" i="2"/>
  <c r="C9" i="2"/>
  <c r="C12" i="2" s="1"/>
  <c r="C5" i="2"/>
  <c r="C23" i="2" s="1"/>
  <c r="G9" i="2"/>
  <c r="G12" i="2" s="1"/>
  <c r="G5" i="2"/>
  <c r="G23" i="2" s="1"/>
  <c r="D9" i="2"/>
  <c r="D12" i="2" s="1"/>
  <c r="D5" i="2"/>
  <c r="D23" i="2" s="1"/>
  <c r="H9" i="2"/>
  <c r="H12" i="2" s="1"/>
  <c r="H5" i="2"/>
  <c r="H23" i="2" s="1"/>
  <c r="E9" i="2"/>
  <c r="E12" i="2" s="1"/>
  <c r="E5" i="2"/>
  <c r="E23" i="2" s="1"/>
  <c r="I9" i="2"/>
  <c r="I12" i="2" s="1"/>
  <c r="I5" i="2"/>
  <c r="I23" i="2" s="1"/>
  <c r="F9" i="2"/>
  <c r="F12" i="2" s="1"/>
  <c r="F5" i="2"/>
  <c r="F23" i="2" s="1"/>
  <c r="J9" i="2"/>
  <c r="J12" i="2" s="1"/>
  <c r="J5" i="2"/>
  <c r="J23" i="2" s="1"/>
  <c r="K9" i="2"/>
  <c r="K12" i="2" s="1"/>
  <c r="K5" i="2"/>
  <c r="K23" i="2" s="1"/>
  <c r="O9" i="2"/>
  <c r="O5" i="2"/>
  <c r="O23" i="2" s="1"/>
  <c r="L9" i="2"/>
  <c r="L12" i="2" s="1"/>
  <c r="L5" i="2"/>
  <c r="L23" i="2" s="1"/>
  <c r="P9" i="2"/>
  <c r="P12" i="2" s="1"/>
  <c r="P5" i="2"/>
  <c r="P23" i="2" s="1"/>
  <c r="M9" i="2"/>
  <c r="M12" i="2" s="1"/>
  <c r="M5" i="2"/>
  <c r="M23" i="2" s="1"/>
  <c r="Q9" i="2"/>
  <c r="Q12" i="2" s="1"/>
  <c r="Q5" i="2"/>
  <c r="Q23" i="2" s="1"/>
  <c r="N9" i="2"/>
  <c r="N12" i="2" s="1"/>
  <c r="N5" i="2"/>
  <c r="N23" i="2" s="1"/>
  <c r="R9" i="2"/>
  <c r="R12" i="2" s="1"/>
  <c r="R5" i="2"/>
  <c r="R23" i="2" s="1"/>
  <c r="D8" i="1"/>
  <c r="BI27" i="2" s="1"/>
  <c r="D5" i="1"/>
  <c r="F3" i="1"/>
  <c r="AI18" i="2" l="1"/>
  <c r="AI20" i="2" s="1"/>
  <c r="AJ28" i="2"/>
  <c r="AL28" i="2"/>
  <c r="AK28" i="2"/>
  <c r="AI29" i="2"/>
  <c r="AH12" i="2"/>
  <c r="AH13" i="2" s="1"/>
  <c r="AX8" i="2"/>
  <c r="AF24" i="2"/>
  <c r="AF18" i="2"/>
  <c r="AF20" i="2" s="1"/>
  <c r="AV5" i="2"/>
  <c r="AG13" i="2"/>
  <c r="W24" i="2"/>
  <c r="W16" i="2"/>
  <c r="X16" i="2"/>
  <c r="X24" i="2"/>
  <c r="Y24" i="2"/>
  <c r="Y16" i="2"/>
  <c r="AC24" i="2"/>
  <c r="AC16" i="2"/>
  <c r="Z16" i="2"/>
  <c r="Z18" i="2" s="1"/>
  <c r="AD24" i="2"/>
  <c r="AD18" i="2"/>
  <c r="AD20" i="2" s="1"/>
  <c r="AA16" i="2"/>
  <c r="AA24" i="2"/>
  <c r="AE16" i="2"/>
  <c r="AE24" i="2"/>
  <c r="AB16" i="2"/>
  <c r="AB24" i="2"/>
  <c r="D9" i="1"/>
  <c r="AQ25" i="2"/>
  <c r="AO5" i="2"/>
  <c r="AO23" i="2" s="1"/>
  <c r="AQ27" i="2"/>
  <c r="AP26" i="2"/>
  <c r="AR22" i="2"/>
  <c r="AO25" i="2"/>
  <c r="AR9" i="2"/>
  <c r="AR12" i="2" s="1"/>
  <c r="AP22" i="2"/>
  <c r="AR27" i="2"/>
  <c r="R13" i="2"/>
  <c r="R16" i="2" s="1"/>
  <c r="R18" i="2" s="1"/>
  <c r="AO9" i="2"/>
  <c r="AO12" i="2" s="1"/>
  <c r="AP9" i="2"/>
  <c r="AP12" i="2" s="1"/>
  <c r="AP27" i="2"/>
  <c r="AQ5" i="2"/>
  <c r="AQ23" i="2" s="1"/>
  <c r="T24" i="2"/>
  <c r="AR26" i="2"/>
  <c r="AR25" i="2"/>
  <c r="V25" i="2"/>
  <c r="V24" i="2"/>
  <c r="U25" i="2"/>
  <c r="AP5" i="2"/>
  <c r="AP23" i="2" s="1"/>
  <c r="O12" i="2"/>
  <c r="O13" i="2" s="1"/>
  <c r="AQ9" i="2"/>
  <c r="AQ12" i="2" s="1"/>
  <c r="AQ26" i="2"/>
  <c r="AP25" i="2"/>
  <c r="AQ22" i="2"/>
  <c r="AS8" i="2"/>
  <c r="AS7" i="2"/>
  <c r="S26" i="2"/>
  <c r="T23" i="2"/>
  <c r="V22" i="2"/>
  <c r="U22" i="2"/>
  <c r="T22" i="2"/>
  <c r="AR5" i="2"/>
  <c r="AR23" i="2" s="1"/>
  <c r="C13" i="2"/>
  <c r="G13" i="2"/>
  <c r="D13" i="2"/>
  <c r="H13" i="2"/>
  <c r="E13" i="2"/>
  <c r="I13" i="2"/>
  <c r="F13" i="2"/>
  <c r="J13" i="2"/>
  <c r="K13" i="2"/>
  <c r="L13" i="2"/>
  <c r="P13" i="2"/>
  <c r="M13" i="2"/>
  <c r="Q13" i="2"/>
  <c r="N13" i="2"/>
  <c r="AL29" i="2" l="1"/>
  <c r="AK29" i="2"/>
  <c r="AF29" i="2"/>
  <c r="AG16" i="2"/>
  <c r="AG24" i="2"/>
  <c r="AH16" i="2"/>
  <c r="AH24" i="2"/>
  <c r="W18" i="2"/>
  <c r="W28" i="2"/>
  <c r="X28" i="2"/>
  <c r="X18" i="2"/>
  <c r="Y18" i="2"/>
  <c r="Y28" i="2"/>
  <c r="AC28" i="2"/>
  <c r="AC18" i="2"/>
  <c r="Z28" i="2"/>
  <c r="Z20" i="2"/>
  <c r="Z29" i="2"/>
  <c r="AD29" i="2"/>
  <c r="AA28" i="2"/>
  <c r="AA18" i="2"/>
  <c r="AE28" i="2"/>
  <c r="AE18" i="2"/>
  <c r="AB18" i="2"/>
  <c r="AB28" i="2"/>
  <c r="AO13" i="2"/>
  <c r="AO16" i="2" s="1"/>
  <c r="S25" i="2"/>
  <c r="R24" i="2"/>
  <c r="R28" i="2"/>
  <c r="V23" i="2"/>
  <c r="AQ13" i="2"/>
  <c r="AQ24" i="2" s="1"/>
  <c r="AS4" i="2"/>
  <c r="AS5" i="2" s="1"/>
  <c r="AS23" i="2" s="1"/>
  <c r="S23" i="2"/>
  <c r="S24" i="2"/>
  <c r="T25" i="2"/>
  <c r="U24" i="2"/>
  <c r="U23" i="2"/>
  <c r="AP13" i="2"/>
  <c r="Q16" i="2"/>
  <c r="Q24" i="2"/>
  <c r="I16" i="2"/>
  <c r="I24" i="2"/>
  <c r="M16" i="2"/>
  <c r="M24" i="2"/>
  <c r="E16" i="2"/>
  <c r="E24" i="2"/>
  <c r="H16" i="2"/>
  <c r="H24" i="2"/>
  <c r="C16" i="2"/>
  <c r="C24" i="2"/>
  <c r="J16" i="2"/>
  <c r="J24" i="2"/>
  <c r="N16" i="2"/>
  <c r="N24" i="2"/>
  <c r="F16" i="2"/>
  <c r="F24" i="2"/>
  <c r="AS6" i="2"/>
  <c r="AS12" i="2" s="1"/>
  <c r="P16" i="2"/>
  <c r="P24" i="2"/>
  <c r="L16" i="2"/>
  <c r="L24" i="2"/>
  <c r="D16" i="2"/>
  <c r="D24" i="2"/>
  <c r="AS26" i="2"/>
  <c r="K16" i="2"/>
  <c r="K24" i="2"/>
  <c r="O16" i="2"/>
  <c r="O24" i="2"/>
  <c r="G16" i="2"/>
  <c r="G24" i="2"/>
  <c r="R29" i="2"/>
  <c r="R20" i="2"/>
  <c r="AS27" i="2"/>
  <c r="AT22" i="2"/>
  <c r="AS22" i="2"/>
  <c r="AR13" i="2"/>
  <c r="AJ29" i="2" l="1"/>
  <c r="AH28" i="2"/>
  <c r="W29" i="2"/>
  <c r="W20" i="2"/>
  <c r="X29" i="2"/>
  <c r="X20" i="2"/>
  <c r="Y29" i="2"/>
  <c r="Y20" i="2"/>
  <c r="AC20" i="2"/>
  <c r="AC29" i="2"/>
  <c r="AA29" i="2"/>
  <c r="AA20" i="2"/>
  <c r="AE20" i="2"/>
  <c r="AE29" i="2"/>
  <c r="AB29" i="2"/>
  <c r="AB20" i="2"/>
  <c r="AO24" i="2"/>
  <c r="S28" i="2"/>
  <c r="AQ16" i="2"/>
  <c r="AQ28" i="2" s="1"/>
  <c r="AS25" i="2"/>
  <c r="O18" i="2"/>
  <c r="O28" i="2"/>
  <c r="C18" i="2"/>
  <c r="C28" i="2"/>
  <c r="K18" i="2"/>
  <c r="K28" i="2"/>
  <c r="AT12" i="2"/>
  <c r="AT13" i="2" s="1"/>
  <c r="AT25" i="2"/>
  <c r="M18" i="2"/>
  <c r="M28" i="2"/>
  <c r="AU27" i="2"/>
  <c r="L18" i="2"/>
  <c r="L28" i="2"/>
  <c r="H18" i="2"/>
  <c r="H28" i="2"/>
  <c r="AP16" i="2"/>
  <c r="AP24" i="2"/>
  <c r="AU22" i="2"/>
  <c r="P18" i="2"/>
  <c r="P28" i="2"/>
  <c r="N18" i="2"/>
  <c r="N28" i="2"/>
  <c r="E18" i="2"/>
  <c r="E28" i="2"/>
  <c r="J18" i="2"/>
  <c r="J28" i="2"/>
  <c r="D18" i="2"/>
  <c r="D28" i="2"/>
  <c r="I18" i="2"/>
  <c r="I28" i="2"/>
  <c r="AU26" i="2"/>
  <c r="F18" i="2"/>
  <c r="F28" i="2"/>
  <c r="Q18" i="2"/>
  <c r="Q28" i="2"/>
  <c r="AT26" i="2"/>
  <c r="AT27" i="2"/>
  <c r="AR16" i="2"/>
  <c r="AR24" i="2"/>
  <c r="G18" i="2"/>
  <c r="G28" i="2"/>
  <c r="AT23" i="2"/>
  <c r="AO18" i="2"/>
  <c r="AO28" i="2"/>
  <c r="AS13" i="2"/>
  <c r="AS24" i="2" s="1"/>
  <c r="AG28" i="2" l="1"/>
  <c r="AG18" i="2"/>
  <c r="AG29" i="2" s="1"/>
  <c r="AQ18" i="2"/>
  <c r="AQ20" i="2" s="1"/>
  <c r="AH18" i="2"/>
  <c r="G20" i="2"/>
  <c r="G29" i="2"/>
  <c r="H20" i="2"/>
  <c r="H29" i="2"/>
  <c r="AV22" i="2"/>
  <c r="AV26" i="2"/>
  <c r="AT24" i="2"/>
  <c r="AR18" i="2"/>
  <c r="AR28" i="2"/>
  <c r="AU23" i="2"/>
  <c r="AO20" i="2"/>
  <c r="AO29" i="2"/>
  <c r="I20" i="2"/>
  <c r="I29" i="2"/>
  <c r="E20" i="2"/>
  <c r="E29" i="2"/>
  <c r="AU12" i="2"/>
  <c r="AU13" i="2" s="1"/>
  <c r="AU24" i="2" s="1"/>
  <c r="AU25" i="2"/>
  <c r="AV27" i="2"/>
  <c r="C20" i="2"/>
  <c r="C29" i="2"/>
  <c r="F20" i="2"/>
  <c r="F29" i="2"/>
  <c r="P20" i="2"/>
  <c r="P29" i="2"/>
  <c r="J20" i="2"/>
  <c r="J29" i="2"/>
  <c r="K20" i="2"/>
  <c r="K29" i="2"/>
  <c r="L20" i="2"/>
  <c r="L29" i="2"/>
  <c r="Q20" i="2"/>
  <c r="Q29" i="2"/>
  <c r="D20" i="2"/>
  <c r="D29" i="2"/>
  <c r="N20" i="2"/>
  <c r="N29" i="2"/>
  <c r="AP18" i="2"/>
  <c r="AP28" i="2"/>
  <c r="M20" i="2"/>
  <c r="M29" i="2"/>
  <c r="O20" i="2"/>
  <c r="O29" i="2"/>
  <c r="AQ29" i="2" l="1"/>
  <c r="AW23" i="2"/>
  <c r="AG20" i="2"/>
  <c r="AH20" i="2"/>
  <c r="AH29" i="2"/>
  <c r="S29" i="2"/>
  <c r="AP20" i="2"/>
  <c r="AP29" i="2"/>
  <c r="AW22" i="2"/>
  <c r="AX3" i="2"/>
  <c r="AX7" i="2"/>
  <c r="AW26" i="2"/>
  <c r="AR20" i="2"/>
  <c r="AR29" i="2"/>
  <c r="AV25" i="2"/>
  <c r="AV12" i="2"/>
  <c r="AV13" i="2" s="1"/>
  <c r="AV24" i="2" s="1"/>
  <c r="AV23" i="2"/>
  <c r="AW27" i="2"/>
  <c r="AY7" i="2" l="1"/>
  <c r="AX26" i="2"/>
  <c r="AW12" i="2"/>
  <c r="AW13" i="2" s="1"/>
  <c r="AW24" i="2" s="1"/>
  <c r="AW25" i="2"/>
  <c r="AY3" i="2"/>
  <c r="AX6" i="2"/>
  <c r="AX22" i="2"/>
  <c r="AY8" i="2"/>
  <c r="AX27" i="2"/>
  <c r="AZ3" i="2" l="1"/>
  <c r="AY23" i="2"/>
  <c r="AX12" i="2"/>
  <c r="AX13" i="2" s="1"/>
  <c r="AX24" i="2" s="1"/>
  <c r="AX25" i="2"/>
  <c r="AY22" i="2"/>
  <c r="AY6" i="2"/>
  <c r="AX23" i="2"/>
  <c r="AX4" i="2"/>
  <c r="AZ8" i="2"/>
  <c r="AY27" i="2"/>
  <c r="AZ7" i="2"/>
  <c r="AY26" i="2"/>
  <c r="T29" i="2"/>
  <c r="T28" i="2"/>
  <c r="BA3" i="2" l="1"/>
  <c r="AZ23" i="2"/>
  <c r="AZ22" i="2"/>
  <c r="AZ6" i="2"/>
  <c r="BA7" i="2"/>
  <c r="AZ26" i="2"/>
  <c r="AY12" i="2"/>
  <c r="AY13" i="2" s="1"/>
  <c r="AY24" i="2" s="1"/>
  <c r="AY25" i="2"/>
  <c r="BA8" i="2"/>
  <c r="AZ27" i="2"/>
  <c r="AY4" i="2"/>
  <c r="BB3" i="2" l="1"/>
  <c r="AZ12" i="2"/>
  <c r="AZ13" i="2" s="1"/>
  <c r="AZ24" i="2" s="1"/>
  <c r="AZ25" i="2"/>
  <c r="AZ4" i="2"/>
  <c r="BB7" i="2"/>
  <c r="BA26" i="2"/>
  <c r="BB8" i="2"/>
  <c r="BA27" i="2"/>
  <c r="BA22" i="2"/>
  <c r="BA6" i="2"/>
  <c r="U28" i="2"/>
  <c r="BC3" i="2" l="1"/>
  <c r="BB23" i="2"/>
  <c r="BC8" i="2"/>
  <c r="BB27" i="2"/>
  <c r="BC7" i="2"/>
  <c r="BB26" i="2"/>
  <c r="BA12" i="2"/>
  <c r="BA13" i="2" s="1"/>
  <c r="BA24" i="2" s="1"/>
  <c r="BA25" i="2"/>
  <c r="BA23" i="2"/>
  <c r="BA4" i="2"/>
  <c r="BB22" i="2"/>
  <c r="BB6" i="2"/>
  <c r="U29" i="2"/>
  <c r="BD3" i="2" l="1"/>
  <c r="BD22" i="2" s="1"/>
  <c r="BC27" i="2"/>
  <c r="BD8" i="2"/>
  <c r="BC26" i="2"/>
  <c r="BD7" i="2"/>
  <c r="BB25" i="2"/>
  <c r="BB12" i="2"/>
  <c r="BB13" i="2" s="1"/>
  <c r="BB24" i="2" s="1"/>
  <c r="BC22" i="2"/>
  <c r="BC6" i="2"/>
  <c r="BB4" i="2"/>
  <c r="AS14" i="2"/>
  <c r="AS16" i="2" s="1"/>
  <c r="BE3" i="2" l="1"/>
  <c r="BE6" i="2" s="1"/>
  <c r="BD4" i="2"/>
  <c r="BD6" i="2"/>
  <c r="BD25" i="2" s="1"/>
  <c r="BE8" i="2"/>
  <c r="BD27" i="2"/>
  <c r="BD26" i="2"/>
  <c r="BE7" i="2"/>
  <c r="BD12" i="2"/>
  <c r="BC4" i="2"/>
  <c r="BC23" i="2"/>
  <c r="BC25" i="2"/>
  <c r="BC12" i="2"/>
  <c r="BC13" i="2" s="1"/>
  <c r="BC24" i="2" s="1"/>
  <c r="BD13" i="2" l="1"/>
  <c r="BD24" i="2" s="1"/>
  <c r="BE22" i="2"/>
  <c r="BF3" i="2"/>
  <c r="BE23" i="2"/>
  <c r="BD23" i="2"/>
  <c r="BE27" i="2"/>
  <c r="BF8" i="2"/>
  <c r="BF27" i="2" s="1"/>
  <c r="BE26" i="2"/>
  <c r="BF7" i="2"/>
  <c r="BF26" i="2" s="1"/>
  <c r="BE25" i="2"/>
  <c r="BE12" i="2"/>
  <c r="BF23" i="2"/>
  <c r="V28" i="2"/>
  <c r="AS17" i="2"/>
  <c r="BE13" i="2" l="1"/>
  <c r="BE24" i="2" s="1"/>
  <c r="BF22" i="2"/>
  <c r="BF6" i="2"/>
  <c r="BF25" i="2" s="1"/>
  <c r="BE4" i="2"/>
  <c r="BF4" i="2"/>
  <c r="AS28" i="2"/>
  <c r="AS18" i="2"/>
  <c r="AT16" i="2" s="1"/>
  <c r="V29" i="2"/>
  <c r="BF12" i="2" l="1"/>
  <c r="BF13" i="2" s="1"/>
  <c r="BF24" i="2" s="1"/>
  <c r="AT28" i="2"/>
  <c r="AS29" i="2"/>
  <c r="AS20" i="2"/>
  <c r="AT18" i="2" l="1"/>
  <c r="AT29" i="2" l="1"/>
  <c r="AT20" i="2"/>
  <c r="AU16" i="2"/>
  <c r="AU28" i="2" s="1"/>
  <c r="AU18" i="2" l="1"/>
  <c r="AU20" i="2" l="1"/>
  <c r="AU29" i="2"/>
  <c r="AV16" i="2"/>
  <c r="AV28" i="2" l="1"/>
  <c r="AV18" i="2" l="1"/>
  <c r="AV20" i="2" l="1"/>
  <c r="AW16" i="2"/>
  <c r="AW28" i="2" s="1"/>
  <c r="AV29" i="2"/>
  <c r="AW18" i="2" l="1"/>
  <c r="AX16" i="2" l="1"/>
  <c r="AX17" i="2" s="1"/>
  <c r="AX28" i="2" s="1"/>
  <c r="AW20" i="2"/>
  <c r="AW29" i="2"/>
  <c r="AX18" i="2" l="1"/>
  <c r="AX20" i="2" s="1"/>
  <c r="AX29" i="2" l="1"/>
  <c r="AY16" i="2"/>
  <c r="AY17" i="2" s="1"/>
  <c r="AY28" i="2" s="1"/>
  <c r="AY18" i="2" l="1"/>
  <c r="AZ16" i="2" l="1"/>
  <c r="AZ17" i="2" s="1"/>
  <c r="AZ28" i="2" s="1"/>
  <c r="AY20" i="2"/>
  <c r="AY29" i="2"/>
  <c r="AZ18" i="2" l="1"/>
  <c r="BA16" i="2" l="1"/>
  <c r="AZ29" i="2"/>
  <c r="AZ20" i="2"/>
  <c r="BA17" i="2" l="1"/>
  <c r="BA28" i="2" s="1"/>
  <c r="BA18" i="2" l="1"/>
  <c r="BA29" i="2" s="1"/>
  <c r="BB16" i="2" l="1"/>
  <c r="BB17" i="2" s="1"/>
  <c r="BB28" i="2" s="1"/>
  <c r="BA20" i="2"/>
  <c r="BB18" i="2" l="1"/>
  <c r="BB29" i="2" s="1"/>
  <c r="BC16" i="2" l="1"/>
  <c r="BC17" i="2" s="1"/>
  <c r="BC28" i="2" s="1"/>
  <c r="BB20" i="2"/>
  <c r="BC18" i="2" l="1"/>
  <c r="BC29" i="2" l="1"/>
  <c r="BD16" i="2"/>
  <c r="BC20" i="2"/>
  <c r="BD17" i="2" l="1"/>
  <c r="BD28" i="2" s="1"/>
  <c r="BD18" i="2" l="1"/>
  <c r="BD29" i="2" s="1"/>
  <c r="BD20" i="2" l="1"/>
  <c r="BE16" i="2"/>
  <c r="BE17" i="2" s="1"/>
  <c r="BE28" i="2" s="1"/>
  <c r="BE18" i="2" l="1"/>
  <c r="BE29" i="2" l="1"/>
  <c r="BE20" i="2"/>
  <c r="BF16" i="2"/>
  <c r="BF17" i="2" l="1"/>
  <c r="BF28" i="2" s="1"/>
  <c r="BF18" i="2" l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X18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DO18" i="2" s="1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EA18" i="2" s="1"/>
  <c r="EB18" i="2" s="1"/>
  <c r="EC18" i="2" s="1"/>
  <c r="ED18" i="2" s="1"/>
  <c r="EE18" i="2" s="1"/>
  <c r="EF18" i="2" s="1"/>
  <c r="EG18" i="2" s="1"/>
  <c r="EH18" i="2" s="1"/>
  <c r="EI18" i="2" s="1"/>
  <c r="EJ18" i="2" s="1"/>
  <c r="EK18" i="2" s="1"/>
  <c r="EL18" i="2" s="1"/>
  <c r="EM18" i="2" s="1"/>
  <c r="EN18" i="2" s="1"/>
  <c r="EO18" i="2" s="1"/>
  <c r="EP18" i="2" s="1"/>
  <c r="EQ18" i="2" s="1"/>
  <c r="ER18" i="2" s="1"/>
  <c r="ES18" i="2" s="1"/>
  <c r="ET18" i="2" s="1"/>
  <c r="EU18" i="2" s="1"/>
  <c r="EV18" i="2" s="1"/>
  <c r="EW18" i="2" s="1"/>
  <c r="EX18" i="2" s="1"/>
  <c r="EY18" i="2" s="1"/>
  <c r="EZ18" i="2" s="1"/>
  <c r="FA18" i="2" s="1"/>
  <c r="FB18" i="2" s="1"/>
  <c r="FC18" i="2" s="1"/>
  <c r="FD18" i="2" s="1"/>
  <c r="FE18" i="2" s="1"/>
  <c r="FF18" i="2" s="1"/>
  <c r="FG18" i="2" s="1"/>
  <c r="FH18" i="2" s="1"/>
  <c r="FI18" i="2" s="1"/>
  <c r="FJ18" i="2" s="1"/>
  <c r="FK18" i="2" s="1"/>
  <c r="FL18" i="2" s="1"/>
  <c r="BI26" i="2" s="1"/>
  <c r="BF20" i="2" l="1"/>
  <c r="BF29" i="2"/>
  <c r="BI28" i="2"/>
  <c r="BI29" i="2" s="1"/>
  <c r="BI31" i="2" s="1"/>
</calcChain>
</file>

<file path=xl/sharedStrings.xml><?xml version="1.0" encoding="utf-8"?>
<sst xmlns="http://schemas.openxmlformats.org/spreadsheetml/2006/main" count="86" uniqueCount="82">
  <si>
    <t>LOGI</t>
  </si>
  <si>
    <t>Price</t>
  </si>
  <si>
    <t>Shares</t>
  </si>
  <si>
    <t>MC</t>
  </si>
  <si>
    <t>Cash</t>
  </si>
  <si>
    <t>Debt</t>
  </si>
  <si>
    <t>Net Cash</t>
  </si>
  <si>
    <t>EV</t>
  </si>
  <si>
    <t>Time last checked</t>
  </si>
  <si>
    <t>Today</t>
  </si>
  <si>
    <t>Earnings</t>
  </si>
  <si>
    <t>Q420</t>
  </si>
  <si>
    <t>Q421</t>
  </si>
  <si>
    <t>Revenue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</si>
  <si>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</si>
  <si>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</si>
  <si>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</si>
  <si>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</si>
  <si>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</si>
  <si>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</si>
  <si>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</si>
  <si>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</si>
  <si>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</si>
  <si>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</si>
  <si>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</si>
  <si>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Q121</t>
  </si>
  <si>
    <t>Q221</t>
  </si>
  <si>
    <t>Q321</t>
  </si>
  <si>
    <t>Q122</t>
  </si>
  <si>
    <t>Q222</t>
  </si>
  <si>
    <t>Q322</t>
  </si>
  <si>
    <t>Q422</t>
  </si>
  <si>
    <t>S&amp;M</t>
  </si>
  <si>
    <t>G&amp;A</t>
  </si>
  <si>
    <t>R&amp;D</t>
  </si>
  <si>
    <t>Amortisation</t>
  </si>
  <si>
    <t>Change in fair value</t>
  </si>
  <si>
    <t>Restructuring</t>
  </si>
  <si>
    <t>Total operating expenses</t>
  </si>
  <si>
    <t>Operating profit</t>
  </si>
  <si>
    <t>Interest income</t>
  </si>
  <si>
    <t>Other income</t>
  </si>
  <si>
    <t>Pretax profit</t>
  </si>
  <si>
    <t>Taxes</t>
  </si>
  <si>
    <t>Net profit</t>
  </si>
  <si>
    <t>EPS</t>
  </si>
  <si>
    <t>Cost of sales</t>
  </si>
  <si>
    <t>Gross profit</t>
  </si>
  <si>
    <t>Revenue y/y</t>
  </si>
  <si>
    <t>Gross Margin</t>
  </si>
  <si>
    <t>Operating Margin</t>
  </si>
  <si>
    <t>S&amp;M Margin</t>
  </si>
  <si>
    <t>R&amp;D y/y</t>
  </si>
  <si>
    <t>G&amp;A y/y</t>
  </si>
  <si>
    <t>Net Margin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</si>
  <si>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</si>
  <si>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</si>
  <si>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</si>
  <si>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</si>
  <si>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</si>
  <si>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</si>
  <si>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</si>
  <si>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</si>
  <si>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</si>
  <si>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</si>
  <si>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</si>
  <si>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</si>
  <si>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</si>
  <si>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</si>
  <si>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</si>
  <si>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</si>
  <si>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</si>
  <si>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</si>
  <si>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Q225</t>
  </si>
  <si>
    <t>Q325</t>
  </si>
  <si>
    <t>Q425</t>
  </si>
  <si>
    <t>Q126</t>
  </si>
  <si>
    <t>Q226</t>
  </si>
  <si>
    <t>Q326</t>
  </si>
  <si>
    <t>Q426</t>
  </si>
  <si>
    <t>Q425 8K</t>
  </si>
  <si>
    <t>Fairly 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</si>
</sst>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4" fontId="1" fillId="0" borderId="0" xfId="0" applyNumberFormat="1" applyFont="1"/>
    <xf numFmtId="3" fontId="1" fillId="0" borderId="0" xfId="0" applyNumberFormat="1" applyFont="1"/>
    <xf numFmtId="9" fontId="0" fillId="0" borderId="0" xfId="0" applyNumberFormat="1"/>
    <xf numFmtId="9" fontId="1" fillId="0" borderId="0" xfId="0" applyNumberFormat="1" applyFont="1"/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22860</xdr:colOff>
      <xdr:row>0</xdr:row>
      <xdr:rowOff>7620</xdr:rowOff>
    </xdr:from>
    <xdr:to>
      <xdr:col>34</xdr:col>
      <xdr:colOff>22860</xdr:colOff>
      <xdr:row>33</xdr:row>
      <xdr:rowOff>106680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8C63010-69E7-4425-8E5A-BF1DD67B86D0}"/>
            </a:ext>
          </a:extLst>
        </xdr:cNvPr>
        <xdr:cNvCxnSpPr/>
      </xdr:nvCxnSpPr>
      <xdr:spPr>
        <a:xfrm>
          <a:off x="25283160" y="7620"/>
          <a:ext cx="0" cy="6134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22860</xdr:colOff>
      <xdr:row>0</xdr:row>
      <xdr:rowOff>0</xdr:rowOff>
    </xdr:from>
    <xdr:to>
      <xdr:col>48</xdr:col>
      <xdr:colOff>22860</xdr:colOff>
      <xdr:row>33</xdr:row>
      <xdr:rowOff>91440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9D69BFC-7C7E-42B4-AF5E-B18F65DD55A2}"/>
            </a:ext>
          </a:extLst>
        </xdr:cNvPr>
        <xdr:cNvCxnSpPr/>
      </xdr:nvCxnSpPr>
      <xdr:spPr>
        <a:xfrm>
          <a:off x="35189160" y="0"/>
          <a:ext cx="0" cy="6126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31880-0DBA-4C02-84EB-EF620E855EED}">
  <dimension ref="B2:G9"/>
  <sheetViews>
    <sheetView workbookViewId="0">
      <selection activeCell="E6" sqref="E6"/>
    </sheetView>
  </sheetViews>
  <sheetFormatPr defaultRowHeight="14.4" x14ac:dyDescent="0.3"/>
  <cols>
    <col min="4" max="4" width="10" bestFit="1" customWidth="1"/>
    <col min="5" max="7" width="15.77734375" style="3" customWidth="1"/>
  </cols>
  <sheetData>
    <row r="2" spans="2:7" x14ac:dyDescent="0.3">
      <c r="E2" s="3" t="s">
        <v>8</v>
      </c>
      <c r="F2" s="3" t="s">
        <v>9</v>
      </c>
      <c r="G2" s="3" t="s">
        <v>10</v>
      </c>
    </row>
    <row r="3" spans="2:7" x14ac:dyDescent="0.3">
      <c r="B3" s="1" t="s">
        <v>0</v>
      </c>
      <c r="C3" t="s">
        <v>1</v>
      </c>
      <c r="D3" s="5">
        <v>78.150000000000006</v>
      </c>
      <c r="E3" s="4">
        <v>45781</v>
      </c>
      <c r="F3" s="4">
        <f ca="1">TODAY()</f>
        <v>45781</v>
      </c>
      <c r="G3" s="4">
        <v>45866</v>
      </c>
    </row>
    <row r="4" spans="2:7" x14ac:dyDescent="0.3">
      <c r="C4" t="s">
        <v>2</v>
      </c>
      <c r="D4" s="6">
        <f>149</f>
        <v>149</v>
      </c>
      <c r="E4" s="3" t="s">
        <v>80</v>
      </c>
    </row>
    <row r="5" spans="2:7" x14ac:dyDescent="0.3">
      <c r="C5" t="s">
        <v>3</v>
      </c>
      <c r="D5" s="6">
        <f>D3*D4</f>
        <v>11644.35</v>
      </c>
    </row>
    <row r="6" spans="2:7" x14ac:dyDescent="0.3">
      <c r="C6" t="s">
        <v>4</v>
      </c>
      <c r="D6" s="6">
        <f>1503.2</f>
        <v>1503.2</v>
      </c>
      <c r="E6" s="3" t="s">
        <v>75</v>
      </c>
    </row>
    <row r="7" spans="2:7" x14ac:dyDescent="0.3">
      <c r="C7" t="s">
        <v>5</v>
      </c>
      <c r="D7" s="6">
        <v>0</v>
      </c>
      <c r="E7" s="3" t="s">
        <v>75</v>
      </c>
    </row>
    <row r="8" spans="2:7" x14ac:dyDescent="0.3">
      <c r="C8" t="s">
        <v>6</v>
      </c>
      <c r="D8" s="6">
        <f>D6-D7</f>
        <v>1503.2</v>
      </c>
    </row>
    <row r="9" spans="2:7" x14ac:dyDescent="0.3">
      <c r="C9" t="s">
        <v>7</v>
      </c>
      <c r="D9" s="6">
        <f>D5-D8</f>
        <v>10141.15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796F9-CBE6-4884-89A7-410ADC1EC65B}">
  <dimension ref="B1:FL32"/>
  <sheetViews>
    <sheetView tabSelected="1" workbookViewId="0">
      <pane xSplit="2" ySplit="2" topLeftCell="AI3" activePane="bottomRight" state="frozen"/>
      <selection pane="topRight" activeCell="C1" sqref="C1"/>
      <selection pane="bottomLeft" activeCell="A3" sqref="A3"/>
      <selection pane="bottomRight" activeCell="AW3" sqref="AW3"/>
    </sheetView>
  </sheetViews>
  <sheetFormatPr defaultRowHeight="14.4" x14ac:dyDescent="0.3"/>
  <cols>
    <col min="2" max="2" width="21.6640625" bestFit="1" customWidth="1"/>
    <col min="3" max="38" width="10.5546875" customWidth="1"/>
    <col min="41" max="58" width="10.5546875" bestFit="1" customWidth="1"/>
    <col min="60" max="60" width="11.88671875" bestFit="1" customWidth="1"/>
    <col min="61" max="61" width="17.33203125" bestFit="1" customWidth="1"/>
  </cols>
  <sheetData>
    <row r="1" spans="2:58" x14ac:dyDescent="0.3">
      <c r="C1" s="2">
        <v>42916</v>
      </c>
      <c r="D1" s="2">
        <v>43008</v>
      </c>
      <c r="E1" s="2">
        <v>43100</v>
      </c>
      <c r="F1" s="2">
        <v>43190</v>
      </c>
      <c r="G1" s="2">
        <v>43281</v>
      </c>
      <c r="H1" s="2">
        <v>43373</v>
      </c>
      <c r="I1" s="2">
        <v>43465</v>
      </c>
      <c r="J1" s="2">
        <v>43555</v>
      </c>
      <c r="K1" s="2">
        <v>43646</v>
      </c>
      <c r="L1" s="2">
        <v>43738</v>
      </c>
      <c r="M1" s="2">
        <v>43830</v>
      </c>
      <c r="N1" s="2">
        <v>43921</v>
      </c>
      <c r="O1" s="2">
        <v>44012</v>
      </c>
      <c r="P1" s="2">
        <v>44104</v>
      </c>
      <c r="Q1" s="2">
        <v>44196</v>
      </c>
      <c r="R1" s="2">
        <v>44286</v>
      </c>
      <c r="S1" s="2">
        <v>44377</v>
      </c>
      <c r="T1" s="2">
        <v>44469</v>
      </c>
      <c r="U1" s="2">
        <v>44561</v>
      </c>
      <c r="V1" s="2">
        <v>44651</v>
      </c>
      <c r="W1" s="2">
        <v>44742</v>
      </c>
      <c r="X1" s="2">
        <v>44834</v>
      </c>
      <c r="Y1" s="2">
        <v>44926</v>
      </c>
      <c r="Z1" s="2">
        <v>45016</v>
      </c>
      <c r="AA1" s="2">
        <v>45107</v>
      </c>
      <c r="AB1" s="2">
        <v>45199</v>
      </c>
      <c r="AC1" s="2">
        <v>45291</v>
      </c>
      <c r="AD1" s="2">
        <v>45382</v>
      </c>
      <c r="AE1" s="2">
        <v>45473</v>
      </c>
      <c r="AF1" s="2">
        <v>45565</v>
      </c>
      <c r="AG1" s="2">
        <v>45657</v>
      </c>
      <c r="AH1" s="2">
        <v>45747</v>
      </c>
      <c r="AI1" s="2">
        <v>45838</v>
      </c>
      <c r="AJ1" s="2">
        <v>45930</v>
      </c>
      <c r="AK1" s="2">
        <v>46022</v>
      </c>
      <c r="AL1" s="2">
        <v>46112</v>
      </c>
      <c r="AO1" s="2">
        <v>43190</v>
      </c>
      <c r="AP1" s="2">
        <v>43555</v>
      </c>
      <c r="AQ1" s="2">
        <v>43921</v>
      </c>
      <c r="AR1" s="2">
        <v>44286</v>
      </c>
      <c r="AS1" s="2">
        <v>44651</v>
      </c>
      <c r="AT1" s="2">
        <v>45016</v>
      </c>
      <c r="AU1" s="2">
        <v>45382</v>
      </c>
      <c r="AV1" s="2">
        <v>45747</v>
      </c>
      <c r="AW1" s="2">
        <v>46112</v>
      </c>
      <c r="AX1" s="2">
        <v>46477</v>
      </c>
      <c r="AY1" s="2">
        <v>46843</v>
      </c>
      <c r="AZ1" s="2">
        <v>47208</v>
      </c>
      <c r="BA1" s="2">
        <v>47573</v>
      </c>
      <c r="BB1" s="2">
        <v>47938</v>
      </c>
      <c r="BC1" s="2">
        <v>48304</v>
      </c>
      <c r="BD1" s="2">
        <v>48669</v>
      </c>
      <c r="BE1" s="2">
        <v>49034</v>
      </c>
      <c r="BF1" s="2">
        <v>49399</v>
      </c>
    </row>
    <row r="2" spans="2:58" x14ac:dyDescent="0.3">
      <c r="C2" s="7" t="s">
        <v>14</v>
      </c>
      <c r="D2" s="7" t="s">
        <v>15</v>
      </c>
      <c r="E2" s="7" t="s">
        <v>16</v>
      </c>
      <c r="F2" s="7" t="s">
        <v>17</v>
      </c>
      <c r="G2" s="7" t="s">
        <v>18</v>
      </c>
      <c r="H2" s="7" t="s">
        <v>19</v>
      </c>
      <c r="I2" s="7" t="s">
        <v>20</v>
      </c>
      <c r="J2" s="7" t="s">
        <v>21</v>
      </c>
      <c r="K2" s="7" t="s">
        <v>22</v>
      </c>
      <c r="L2" s="7" t="s">
        <v>23</v>
      </c>
      <c r="M2" s="7" t="s">
        <v>24</v>
      </c>
      <c r="N2" s="7" t="s">
        <v>11</v>
      </c>
      <c r="O2" s="7" t="s">
        <v>25</v>
      </c>
      <c r="P2" s="7" t="s">
        <v>26</v>
      </c>
      <c r="Q2" s="7" t="s">
        <v>27</v>
      </c>
      <c r="R2" s="7" t="s">
        <v>12</v>
      </c>
      <c r="S2" s="7" t="s">
        <v>28</v>
      </c>
      <c r="T2" s="7" t="s">
        <v>29</v>
      </c>
      <c r="U2" s="7" t="s">
        <v>30</v>
      </c>
      <c r="V2" s="7" t="s">
        <v>31</v>
      </c>
      <c r="W2" s="7" t="s">
        <v>64</v>
      </c>
      <c r="X2" s="7" t="s">
        <v>65</v>
      </c>
      <c r="Y2" s="7" t="s">
        <v>66</v>
      </c>
      <c r="Z2" s="7" t="s">
        <v>67</v>
      </c>
      <c r="AA2" s="7" t="s">
        <v>68</v>
      </c>
      <c r="AB2" s="7" t="s">
        <v>69</v>
      </c>
      <c r="AC2" s="7" t="s">
        <v>70</v>
      </c>
      <c r="AD2" s="7" t="s">
        <v>71</v>
      </c>
      <c r="AE2" s="7" t="s">
        <v>72</v>
      </c>
      <c r="AF2" s="7" t="s">
        <v>73</v>
      </c>
      <c r="AG2" s="7" t="s">
        <v>74</v>
      </c>
      <c r="AH2" s="7" t="s">
        <v>75</v>
      </c>
      <c r="AI2" s="7" t="s">
        <v>76</v>
      </c>
      <c r="AJ2" s="7" t="s">
        <v>77</v>
      </c>
      <c r="AK2" s="7" t="s">
        <v>78</v>
      </c>
      <c r="AL2" s="7" t="s">
        <v>79</v>
      </c>
      <c r="AO2">
        <v>2018</v>
      </c>
      <c r="AP2">
        <v>2019</v>
      </c>
      <c r="AQ2">
        <v>2020</v>
      </c>
      <c r="AR2">
        <v>2021</v>
      </c>
      <c r="AS2">
        <v>2022</v>
      </c>
      <c r="AT2">
        <v>2023</v>
      </c>
      <c r="AU2">
        <v>2024</v>
      </c>
      <c r="AV2">
        <v>2025</v>
      </c>
      <c r="AW2">
        <v>2026</v>
      </c>
      <c r="AX2">
        <v>2027</v>
      </c>
      <c r="AY2">
        <v>2028</v>
      </c>
      <c r="AZ2">
        <v>2029</v>
      </c>
      <c r="BA2">
        <v>2030</v>
      </c>
      <c r="BB2">
        <v>2031</v>
      </c>
      <c r="BC2">
        <v>2032</v>
      </c>
      <c r="BD2">
        <v>2033</v>
      </c>
      <c r="BE2">
        <v>2034</v>
      </c>
      <c r="BF2">
        <v>2035</v>
      </c>
    </row>
    <row r="3" spans="2:58" s="1" customFormat="1" x14ac:dyDescent="0.3">
      <c r="B3" s="1" t="s">
        <v>13</v>
      </c>
      <c r="C3" s="9">
        <v>529.9</v>
      </c>
      <c r="D3" s="9">
        <v>632.5</v>
      </c>
      <c r="E3" s="9">
        <v>812</v>
      </c>
      <c r="F3" s="9">
        <v>592.4</v>
      </c>
      <c r="G3" s="9">
        <v>608.5</v>
      </c>
      <c r="H3" s="9">
        <v>691.1</v>
      </c>
      <c r="I3" s="9">
        <v>864.4</v>
      </c>
      <c r="J3" s="9">
        <v>624.29999999999995</v>
      </c>
      <c r="K3" s="9">
        <v>644.20000000000005</v>
      </c>
      <c r="L3" s="9">
        <v>719.7</v>
      </c>
      <c r="M3" s="9">
        <v>902.7</v>
      </c>
      <c r="N3" s="9">
        <v>709.2</v>
      </c>
      <c r="O3" s="9">
        <v>791.9</v>
      </c>
      <c r="P3" s="9">
        <v>1257.2</v>
      </c>
      <c r="Q3" s="9">
        <v>1667.3</v>
      </c>
      <c r="R3" s="9">
        <v>1535.9</v>
      </c>
      <c r="S3" s="9">
        <v>1312.1</v>
      </c>
      <c r="T3" s="9">
        <v>1306.3</v>
      </c>
      <c r="U3" s="9">
        <v>1632.8</v>
      </c>
      <c r="V3" s="9">
        <v>1230</v>
      </c>
      <c r="W3" s="9">
        <v>1159.9000000000001</v>
      </c>
      <c r="X3" s="9">
        <v>1149</v>
      </c>
      <c r="Y3" s="9">
        <v>1269.9000000000001</v>
      </c>
      <c r="Z3" s="9">
        <v>960.1</v>
      </c>
      <c r="AA3" s="9">
        <v>974.5</v>
      </c>
      <c r="AB3" s="9">
        <v>1057</v>
      </c>
      <c r="AC3" s="9">
        <v>1255.5</v>
      </c>
      <c r="AD3" s="9">
        <v>1011.5</v>
      </c>
      <c r="AE3" s="9">
        <v>1088.2</v>
      </c>
      <c r="AF3" s="9">
        <v>1116</v>
      </c>
      <c r="AG3" s="9">
        <v>1340.3</v>
      </c>
      <c r="AH3" s="9">
        <v>1010.4</v>
      </c>
      <c r="AI3" s="9">
        <f>AE3*1.05</f>
        <v>1142.6100000000001</v>
      </c>
      <c r="AJ3" s="9">
        <f t="shared" ref="AJ3:AL3" si="0">AF3*1.05</f>
        <v>1171.8</v>
      </c>
      <c r="AK3" s="9">
        <f t="shared" si="0"/>
        <v>1407.3150000000001</v>
      </c>
      <c r="AL3" s="9">
        <f>AH3*1.04</f>
        <v>1050.816</v>
      </c>
      <c r="AO3" s="9">
        <f>SUM(C3:F3)</f>
        <v>2566.8000000000002</v>
      </c>
      <c r="AP3" s="9">
        <f>SUM(G3:J3)</f>
        <v>2788.3</v>
      </c>
      <c r="AQ3" s="9">
        <f>SUM(K3:N3)</f>
        <v>2975.8</v>
      </c>
      <c r="AR3" s="9">
        <f>SUM(O3:R3)</f>
        <v>5252.2999999999993</v>
      </c>
      <c r="AS3" s="9">
        <f>SUM(S3:V3)</f>
        <v>5481.2</v>
      </c>
      <c r="AT3" s="9">
        <f>SUM(W3:Z3)</f>
        <v>4538.9000000000005</v>
      </c>
      <c r="AU3" s="9">
        <f>SUM(AA3:AD3)</f>
        <v>4298.5</v>
      </c>
      <c r="AV3" s="9">
        <f>SUM(AE3:AH3)</f>
        <v>4554.8999999999996</v>
      </c>
      <c r="AW3" s="9">
        <f>SUM(AI3:AL3)</f>
        <v>4772.5410000000002</v>
      </c>
      <c r="AX3" s="9">
        <f>AW3*1.04</f>
        <v>4963.4426400000002</v>
      </c>
      <c r="AY3" s="9">
        <f>AX3*1.03</f>
        <v>5112.3459192</v>
      </c>
      <c r="AZ3" s="9">
        <f>AY3*1.02</f>
        <v>5214.5928375840003</v>
      </c>
      <c r="BA3" s="9">
        <f t="shared" ref="BA3:BF3" si="1">AZ3*1.02</f>
        <v>5318.8846943356803</v>
      </c>
      <c r="BB3" s="9">
        <f t="shared" si="1"/>
        <v>5425.2623882223943</v>
      </c>
      <c r="BC3" s="9">
        <f t="shared" si="1"/>
        <v>5533.7676359868419</v>
      </c>
      <c r="BD3" s="9">
        <f t="shared" si="1"/>
        <v>5644.4429887065789</v>
      </c>
      <c r="BE3" s="9">
        <f t="shared" si="1"/>
        <v>5757.3318484807105</v>
      </c>
      <c r="BF3" s="9">
        <f t="shared" si="1"/>
        <v>5872.478485450325</v>
      </c>
    </row>
    <row r="4" spans="2:58" x14ac:dyDescent="0.3">
      <c r="B4" t="s">
        <v>46</v>
      </c>
      <c r="C4" s="6">
        <v>334.8</v>
      </c>
      <c r="D4" s="6">
        <v>402.7</v>
      </c>
      <c r="E4" s="6">
        <v>533.6</v>
      </c>
      <c r="F4" s="6">
        <v>377.6</v>
      </c>
      <c r="G4" s="6">
        <v>382.2</v>
      </c>
      <c r="H4" s="6">
        <v>432.1</v>
      </c>
      <c r="I4" s="6">
        <v>535.70000000000005</v>
      </c>
      <c r="J4" s="6">
        <v>388</v>
      </c>
      <c r="K4" s="6">
        <v>402</v>
      </c>
      <c r="L4" s="6">
        <v>444.3</v>
      </c>
      <c r="M4" s="6">
        <v>564.29999999999995</v>
      </c>
      <c r="N4" s="6">
        <v>428.1</v>
      </c>
      <c r="O4" s="6">
        <v>482.6</v>
      </c>
      <c r="P4" s="6">
        <v>684.6</v>
      </c>
      <c r="Q4" s="6">
        <v>914.9</v>
      </c>
      <c r="R4" s="6">
        <v>821.1</v>
      </c>
      <c r="S4" s="6">
        <v>739.1</v>
      </c>
      <c r="T4" s="6">
        <v>760.3</v>
      </c>
      <c r="U4" s="6">
        <v>971.6</v>
      </c>
      <c r="V4" s="6">
        <v>733.1</v>
      </c>
      <c r="W4" s="6">
        <v>697.2</v>
      </c>
      <c r="X4" s="6">
        <v>707</v>
      </c>
      <c r="Y4" s="6">
        <v>789.5</v>
      </c>
      <c r="Z4" s="6">
        <v>612.70000000000005</v>
      </c>
      <c r="AA4" s="6">
        <v>595.70000000000005</v>
      </c>
      <c r="AB4" s="6">
        <v>615.4</v>
      </c>
      <c r="AC4" s="6">
        <v>726.5</v>
      </c>
      <c r="AD4" s="6">
        <v>572.1</v>
      </c>
      <c r="AE4" s="6">
        <v>619.5</v>
      </c>
      <c r="AF4" s="6">
        <v>627.5</v>
      </c>
      <c r="AG4" s="6">
        <v>763.4</v>
      </c>
      <c r="AH4" s="6">
        <v>572.29999999999995</v>
      </c>
      <c r="AI4" s="6">
        <f>AI3-AI5</f>
        <v>651.28770000000009</v>
      </c>
      <c r="AJ4" s="6">
        <f t="shared" ref="AJ4:AL4" si="2">AJ3-AJ5</f>
        <v>667.92599999999993</v>
      </c>
      <c r="AK4" s="6">
        <f t="shared" si="2"/>
        <v>802.16955000000007</v>
      </c>
      <c r="AL4" s="6">
        <f t="shared" si="2"/>
        <v>598.96512000000007</v>
      </c>
      <c r="AO4" s="6">
        <f>SUM(C4:F4)</f>
        <v>1648.6999999999998</v>
      </c>
      <c r="AP4" s="6">
        <f>SUM(G4:J4)</f>
        <v>1738</v>
      </c>
      <c r="AQ4" s="6">
        <f>SUM(K4:N4)</f>
        <v>1838.6999999999998</v>
      </c>
      <c r="AR4" s="6">
        <f>SUM(O4:R4)</f>
        <v>2903.2</v>
      </c>
      <c r="AS4" s="6">
        <f>SUM(S4:V4)</f>
        <v>3204.1</v>
      </c>
      <c r="AT4" s="6">
        <f>SUM(W4:Z4)</f>
        <v>2806.3999999999996</v>
      </c>
      <c r="AU4" s="6">
        <f>SUM(AA4:AD4)</f>
        <v>2509.6999999999998</v>
      </c>
      <c r="AV4" s="6">
        <f>SUM(AE4:AH4)</f>
        <v>2582.6999999999998</v>
      </c>
      <c r="AW4" s="12">
        <f>SUM(AI4:AL4)</f>
        <v>2720.3483699999997</v>
      </c>
      <c r="AX4" s="6">
        <f t="shared" ref="AW4:BC4" si="3">AX3-AX5</f>
        <v>2779.5278784000002</v>
      </c>
      <c r="AY4" s="6">
        <f t="shared" si="3"/>
        <v>2862.913714752</v>
      </c>
      <c r="AZ4" s="6">
        <f t="shared" si="3"/>
        <v>2920.1719890470404</v>
      </c>
      <c r="BA4" s="6">
        <f t="shared" si="3"/>
        <v>2978.5754288279809</v>
      </c>
      <c r="BB4" s="6">
        <f t="shared" si="3"/>
        <v>3038.1469374045409</v>
      </c>
      <c r="BC4" s="6">
        <f t="shared" si="3"/>
        <v>3098.9098761526316</v>
      </c>
      <c r="BD4" s="6">
        <f t="shared" ref="BD4:BF4" si="4">BD3-BD5</f>
        <v>3160.8880736756842</v>
      </c>
      <c r="BE4" s="6">
        <f t="shared" si="4"/>
        <v>3224.1058351491979</v>
      </c>
      <c r="BF4" s="6">
        <f t="shared" si="4"/>
        <v>3288.587951852182</v>
      </c>
    </row>
    <row r="5" spans="2:58" s="1" customFormat="1" x14ac:dyDescent="0.3">
      <c r="B5" s="1" t="s">
        <v>47</v>
      </c>
      <c r="C5" s="9">
        <f t="shared" ref="C5:R5" si="5">C3-C4</f>
        <v>195.09999999999997</v>
      </c>
      <c r="D5" s="9">
        <f t="shared" si="5"/>
        <v>229.8</v>
      </c>
      <c r="E5" s="9">
        <f t="shared" si="5"/>
        <v>278.39999999999998</v>
      </c>
      <c r="F5" s="9">
        <f t="shared" si="5"/>
        <v>214.79999999999995</v>
      </c>
      <c r="G5" s="9">
        <f t="shared" si="5"/>
        <v>226.3</v>
      </c>
      <c r="H5" s="9">
        <f t="shared" si="5"/>
        <v>259</v>
      </c>
      <c r="I5" s="9">
        <f t="shared" si="5"/>
        <v>328.69999999999993</v>
      </c>
      <c r="J5" s="9">
        <f t="shared" si="5"/>
        <v>236.29999999999995</v>
      </c>
      <c r="K5" s="9">
        <f t="shared" si="5"/>
        <v>242.20000000000005</v>
      </c>
      <c r="L5" s="9">
        <f t="shared" si="5"/>
        <v>275.40000000000003</v>
      </c>
      <c r="M5" s="9">
        <f t="shared" si="5"/>
        <v>338.40000000000009</v>
      </c>
      <c r="N5" s="9">
        <f t="shared" si="5"/>
        <v>281.10000000000002</v>
      </c>
      <c r="O5" s="9">
        <f t="shared" si="5"/>
        <v>309.29999999999995</v>
      </c>
      <c r="P5" s="9">
        <f t="shared" si="5"/>
        <v>572.6</v>
      </c>
      <c r="Q5" s="9">
        <f t="shared" si="5"/>
        <v>752.4</v>
      </c>
      <c r="R5" s="9">
        <f t="shared" si="5"/>
        <v>714.80000000000007</v>
      </c>
      <c r="S5" s="9">
        <f t="shared" ref="S5:AH5" si="6">S3-S4</f>
        <v>572.99999999999989</v>
      </c>
      <c r="T5" s="9">
        <f t="shared" si="6"/>
        <v>546</v>
      </c>
      <c r="U5" s="9">
        <f t="shared" si="6"/>
        <v>661.19999999999993</v>
      </c>
      <c r="V5" s="9">
        <f t="shared" si="6"/>
        <v>496.9</v>
      </c>
      <c r="W5" s="9">
        <f t="shared" si="6"/>
        <v>462.70000000000005</v>
      </c>
      <c r="X5" s="9">
        <f t="shared" si="6"/>
        <v>442</v>
      </c>
      <c r="Y5" s="9">
        <f t="shared" si="6"/>
        <v>480.40000000000009</v>
      </c>
      <c r="Z5" s="9">
        <f t="shared" si="6"/>
        <v>347.4</v>
      </c>
      <c r="AA5" s="9">
        <f t="shared" si="6"/>
        <v>378.79999999999995</v>
      </c>
      <c r="AB5" s="9">
        <f t="shared" si="6"/>
        <v>441.6</v>
      </c>
      <c r="AC5" s="9">
        <f t="shared" si="6"/>
        <v>529</v>
      </c>
      <c r="AD5" s="9">
        <f t="shared" si="6"/>
        <v>439.4</v>
      </c>
      <c r="AE5" s="9">
        <f t="shared" si="6"/>
        <v>468.70000000000005</v>
      </c>
      <c r="AF5" s="9">
        <f t="shared" si="6"/>
        <v>488.5</v>
      </c>
      <c r="AG5" s="9">
        <f t="shared" si="6"/>
        <v>576.9</v>
      </c>
      <c r="AH5" s="9">
        <f t="shared" si="6"/>
        <v>438.1</v>
      </c>
      <c r="AI5" s="9">
        <f>AI3*0.43</f>
        <v>491.32230000000004</v>
      </c>
      <c r="AJ5" s="9">
        <f t="shared" ref="AJ5:AL5" si="7">AJ3*0.43</f>
        <v>503.87399999999997</v>
      </c>
      <c r="AK5" s="9">
        <f t="shared" si="7"/>
        <v>605.14544999999998</v>
      </c>
      <c r="AL5" s="9">
        <f t="shared" si="7"/>
        <v>451.85088000000002</v>
      </c>
      <c r="AO5" s="9">
        <f t="shared" ref="AO5:AW5" si="8">AO3-AO4</f>
        <v>918.10000000000036</v>
      </c>
      <c r="AP5" s="9">
        <f t="shared" si="8"/>
        <v>1050.3000000000002</v>
      </c>
      <c r="AQ5" s="9">
        <f t="shared" si="8"/>
        <v>1137.1000000000004</v>
      </c>
      <c r="AR5" s="9">
        <f t="shared" si="8"/>
        <v>2349.0999999999995</v>
      </c>
      <c r="AS5" s="9">
        <f t="shared" si="8"/>
        <v>2277.1</v>
      </c>
      <c r="AT5" s="9">
        <f t="shared" si="8"/>
        <v>1732.5000000000009</v>
      </c>
      <c r="AU5" s="9">
        <f t="shared" si="8"/>
        <v>1788.8000000000002</v>
      </c>
      <c r="AV5" s="9">
        <f t="shared" si="8"/>
        <v>1972.1999999999998</v>
      </c>
      <c r="AW5" s="9">
        <f t="shared" si="8"/>
        <v>2052.1926300000005</v>
      </c>
      <c r="AX5" s="9">
        <f>AX3*0.44</f>
        <v>2183.9147616</v>
      </c>
      <c r="AY5" s="9">
        <f t="shared" ref="AY5:BF5" si="9">AY3*0.44</f>
        <v>2249.432204448</v>
      </c>
      <c r="AZ5" s="9">
        <f t="shared" si="9"/>
        <v>2294.42084853696</v>
      </c>
      <c r="BA5" s="9">
        <f t="shared" si="9"/>
        <v>2340.3092655076994</v>
      </c>
      <c r="BB5" s="9">
        <f t="shared" si="9"/>
        <v>2387.1154508178533</v>
      </c>
      <c r="BC5" s="9">
        <f t="shared" si="9"/>
        <v>2434.8577598342104</v>
      </c>
      <c r="BD5" s="9">
        <f t="shared" si="9"/>
        <v>2483.5549150308948</v>
      </c>
      <c r="BE5" s="9">
        <f t="shared" si="9"/>
        <v>2533.2260133315126</v>
      </c>
      <c r="BF5" s="9">
        <f t="shared" si="9"/>
        <v>2583.8905335981431</v>
      </c>
    </row>
    <row r="6" spans="2:58" x14ac:dyDescent="0.3">
      <c r="B6" t="s">
        <v>32</v>
      </c>
      <c r="C6" s="6">
        <v>102.4</v>
      </c>
      <c r="D6" s="6">
        <v>107.4</v>
      </c>
      <c r="E6" s="6">
        <v>116.2</v>
      </c>
      <c r="F6" s="6">
        <v>109.6</v>
      </c>
      <c r="G6" s="6">
        <v>114.6</v>
      </c>
      <c r="H6" s="6">
        <v>121.8</v>
      </c>
      <c r="I6" s="6">
        <v>132.30000000000001</v>
      </c>
      <c r="J6" s="6">
        <v>119.6</v>
      </c>
      <c r="K6" s="6">
        <v>123</v>
      </c>
      <c r="L6" s="6">
        <v>134.19999999999999</v>
      </c>
      <c r="M6" s="6">
        <v>135</v>
      </c>
      <c r="N6" s="6">
        <v>141.19999999999999</v>
      </c>
      <c r="O6" s="6">
        <v>133.19999999999999</v>
      </c>
      <c r="P6" s="6">
        <v>158.80000000000001</v>
      </c>
      <c r="Q6" s="6">
        <v>204.5</v>
      </c>
      <c r="R6" s="6">
        <v>273.8</v>
      </c>
      <c r="S6" s="6">
        <v>252.3</v>
      </c>
      <c r="T6" s="6">
        <v>256.60000000000002</v>
      </c>
      <c r="U6" s="6">
        <v>269.89999999999998</v>
      </c>
      <c r="V6" s="6">
        <v>247</v>
      </c>
      <c r="W6" s="6">
        <v>229.4</v>
      </c>
      <c r="X6" s="6">
        <v>202.1</v>
      </c>
      <c r="Y6" s="6">
        <v>196.7</v>
      </c>
      <c r="Z6" s="6">
        <v>181.1</v>
      </c>
      <c r="AA6" s="6">
        <v>179.2</v>
      </c>
      <c r="AB6" s="6">
        <v>176.4</v>
      </c>
      <c r="AC6" s="6">
        <v>189.2</v>
      </c>
      <c r="AD6" s="6">
        <v>185.6</v>
      </c>
      <c r="AE6" s="6">
        <v>196.9</v>
      </c>
      <c r="AF6" s="6">
        <v>201.9</v>
      </c>
      <c r="AG6" s="6">
        <v>217</v>
      </c>
      <c r="AH6" s="6">
        <v>198.6</v>
      </c>
      <c r="AI6" s="6">
        <f>AI3*0.17</f>
        <v>194.24370000000005</v>
      </c>
      <c r="AJ6" s="6">
        <f>AJ3*0.17</f>
        <v>199.20600000000002</v>
      </c>
      <c r="AK6" s="6">
        <f>AK3*0.15</f>
        <v>211.09725</v>
      </c>
      <c r="AL6" s="6">
        <f>AL3*0.19</f>
        <v>199.65504000000001</v>
      </c>
      <c r="AO6" s="6">
        <f t="shared" ref="AO6:AO11" si="10">SUM(C6:F6)</f>
        <v>435.6</v>
      </c>
      <c r="AP6" s="6">
        <f t="shared" ref="AP6:AP11" si="11">SUM(G6:J6)</f>
        <v>488.29999999999995</v>
      </c>
      <c r="AQ6" s="6">
        <f>SUM(K6:N6)</f>
        <v>533.4</v>
      </c>
      <c r="AR6" s="6">
        <f t="shared" ref="AR6:AR11" si="12">SUM(O6:R6)</f>
        <v>770.3</v>
      </c>
      <c r="AS6" s="6">
        <f>SUM(S6:V6)</f>
        <v>1025.8</v>
      </c>
      <c r="AT6" s="6">
        <f t="shared" ref="AT6:AT11" si="13">SUM(W6:Z6)</f>
        <v>809.30000000000007</v>
      </c>
      <c r="AU6" s="6">
        <f t="shared" ref="AU6:AU11" si="14">SUM(AA6:AD6)</f>
        <v>730.4</v>
      </c>
      <c r="AV6" s="6">
        <f t="shared" ref="AV6:AV11" si="15">SUM(AE6:AH6)</f>
        <v>814.4</v>
      </c>
      <c r="AW6" s="12">
        <f t="shared" ref="AW6:AW11" si="16">SUM(AI6:AL6)</f>
        <v>804.20199000000002</v>
      </c>
      <c r="AX6" s="6">
        <f t="shared" ref="AX6:BC6" si="17">AX3*0.16</f>
        <v>794.15082240000004</v>
      </c>
      <c r="AY6" s="6">
        <f t="shared" si="17"/>
        <v>817.97534707199998</v>
      </c>
      <c r="AZ6" s="6">
        <f t="shared" si="17"/>
        <v>834.33485401344012</v>
      </c>
      <c r="BA6" s="6">
        <f t="shared" si="17"/>
        <v>851.02155109370881</v>
      </c>
      <c r="BB6" s="6">
        <f t="shared" si="17"/>
        <v>868.0419821155831</v>
      </c>
      <c r="BC6" s="6">
        <f t="shared" si="17"/>
        <v>885.40282175789469</v>
      </c>
      <c r="BD6" s="6">
        <f t="shared" ref="BD6:BF6" si="18">BD3*0.16</f>
        <v>903.1108781930526</v>
      </c>
      <c r="BE6" s="6">
        <f t="shared" si="18"/>
        <v>921.17309575691365</v>
      </c>
      <c r="BF6" s="6">
        <f t="shared" si="18"/>
        <v>939.59655767205197</v>
      </c>
    </row>
    <row r="7" spans="2:58" x14ac:dyDescent="0.3">
      <c r="B7" t="s">
        <v>34</v>
      </c>
      <c r="C7" s="6">
        <v>35.1</v>
      </c>
      <c r="D7" s="6">
        <v>36.6</v>
      </c>
      <c r="E7" s="6">
        <v>34.4</v>
      </c>
      <c r="F7" s="6">
        <v>37.6</v>
      </c>
      <c r="G7" s="6">
        <v>39</v>
      </c>
      <c r="H7" s="6">
        <v>39.5</v>
      </c>
      <c r="I7" s="6">
        <v>40.6</v>
      </c>
      <c r="J7" s="6">
        <v>42.1</v>
      </c>
      <c r="K7" s="6">
        <v>42.2</v>
      </c>
      <c r="L7" s="6">
        <v>42</v>
      </c>
      <c r="M7" s="6">
        <v>43.3</v>
      </c>
      <c r="N7" s="6">
        <v>50.1</v>
      </c>
      <c r="O7" s="6">
        <v>49.7</v>
      </c>
      <c r="P7" s="6">
        <v>53.4</v>
      </c>
      <c r="Q7" s="6">
        <v>53.9</v>
      </c>
      <c r="R7" s="6">
        <v>69</v>
      </c>
      <c r="S7" s="6">
        <v>69.2</v>
      </c>
      <c r="T7" s="6">
        <v>68.7</v>
      </c>
      <c r="U7" s="6">
        <v>75.5</v>
      </c>
      <c r="V7" s="6">
        <v>78.400000000000006</v>
      </c>
      <c r="W7" s="6">
        <v>75.5</v>
      </c>
      <c r="X7" s="6">
        <v>69</v>
      </c>
      <c r="Y7" s="6">
        <v>65.599999999999994</v>
      </c>
      <c r="Z7" s="6">
        <v>70.599999999999994</v>
      </c>
      <c r="AA7" s="6">
        <v>70.599999999999994</v>
      </c>
      <c r="AB7" s="6">
        <v>68.599999999999994</v>
      </c>
      <c r="AC7" s="6">
        <v>72.7</v>
      </c>
      <c r="AD7" s="6">
        <v>75.400000000000006</v>
      </c>
      <c r="AE7" s="6">
        <v>75.3</v>
      </c>
      <c r="AF7" s="6">
        <v>76.2</v>
      </c>
      <c r="AG7" s="6">
        <v>78</v>
      </c>
      <c r="AH7" s="6">
        <v>79.5</v>
      </c>
      <c r="AI7" s="6">
        <f>AE7*1.05</f>
        <v>79.064999999999998</v>
      </c>
      <c r="AJ7" s="6">
        <f t="shared" ref="AJ7:AL8" si="19">AF7*1.05</f>
        <v>80.010000000000005</v>
      </c>
      <c r="AK7" s="6">
        <f t="shared" si="19"/>
        <v>81.900000000000006</v>
      </c>
      <c r="AL7" s="6">
        <f t="shared" si="19"/>
        <v>83.475000000000009</v>
      </c>
      <c r="AO7" s="6">
        <f t="shared" si="10"/>
        <v>143.69999999999999</v>
      </c>
      <c r="AP7" s="6">
        <f t="shared" si="11"/>
        <v>161.19999999999999</v>
      </c>
      <c r="AQ7" s="6">
        <f>SUM(K7:N7)</f>
        <v>177.6</v>
      </c>
      <c r="AR7" s="6">
        <f t="shared" si="12"/>
        <v>226</v>
      </c>
      <c r="AS7" s="6">
        <f>SUM(S7:V7)</f>
        <v>291.8</v>
      </c>
      <c r="AT7" s="6">
        <f t="shared" si="13"/>
        <v>280.7</v>
      </c>
      <c r="AU7" s="6">
        <f t="shared" si="14"/>
        <v>287.29999999999995</v>
      </c>
      <c r="AV7" s="6">
        <f t="shared" si="15"/>
        <v>309</v>
      </c>
      <c r="AW7" s="12">
        <f t="shared" si="16"/>
        <v>324.45</v>
      </c>
      <c r="AX7" s="6">
        <f>AW7*1.04</f>
        <v>337.428</v>
      </c>
      <c r="AY7" s="6">
        <f>AX7*1.03</f>
        <v>347.55083999999999</v>
      </c>
      <c r="AZ7" s="6">
        <f>AY7*1.03</f>
        <v>357.97736520000001</v>
      </c>
      <c r="BA7" s="6">
        <f t="shared" ref="BA7:BC7" si="20">AZ7*1.02</f>
        <v>365.13691250400001</v>
      </c>
      <c r="BB7" s="6">
        <f t="shared" si="20"/>
        <v>372.43965075407999</v>
      </c>
      <c r="BC7" s="6">
        <f t="shared" si="20"/>
        <v>379.8884437691616</v>
      </c>
      <c r="BD7" s="6">
        <f t="shared" ref="BD7:BD8" si="21">BC7*1.02</f>
        <v>387.48621264454482</v>
      </c>
      <c r="BE7" s="6">
        <f t="shared" ref="BE7:BE8" si="22">BD7*1.02</f>
        <v>395.23593689743575</v>
      </c>
      <c r="BF7" s="6">
        <f t="shared" ref="BF7:BF8" si="23">BE7*1.02</f>
        <v>403.14065563538446</v>
      </c>
    </row>
    <row r="8" spans="2:58" x14ac:dyDescent="0.3">
      <c r="B8" t="s">
        <v>33</v>
      </c>
      <c r="C8" s="6">
        <v>25.4</v>
      </c>
      <c r="D8" s="6">
        <v>25.3</v>
      </c>
      <c r="E8" s="6">
        <v>22.3</v>
      </c>
      <c r="F8" s="6">
        <v>23.4</v>
      </c>
      <c r="G8" s="6">
        <v>25.5</v>
      </c>
      <c r="H8" s="6">
        <v>25.2</v>
      </c>
      <c r="I8" s="6">
        <v>24.5</v>
      </c>
      <c r="J8" s="6">
        <v>23.6</v>
      </c>
      <c r="K8" s="6">
        <v>22.2</v>
      </c>
      <c r="L8" s="6">
        <v>24</v>
      </c>
      <c r="M8" s="6">
        <v>22.3</v>
      </c>
      <c r="N8" s="6">
        <v>25.5</v>
      </c>
      <c r="O8" s="6">
        <v>29.1</v>
      </c>
      <c r="P8" s="6">
        <v>31.7</v>
      </c>
      <c r="Q8" s="6">
        <v>37.6</v>
      </c>
      <c r="R8" s="6">
        <v>68.2</v>
      </c>
      <c r="S8" s="6">
        <v>40.5</v>
      </c>
      <c r="T8" s="6">
        <v>33.299999999999997</v>
      </c>
      <c r="U8" s="6">
        <v>38.5</v>
      </c>
      <c r="V8" s="6">
        <v>36.4</v>
      </c>
      <c r="W8" s="6">
        <v>35.9</v>
      </c>
      <c r="X8" s="6">
        <v>26.6</v>
      </c>
      <c r="Y8" s="6">
        <v>29.8</v>
      </c>
      <c r="Z8" s="6">
        <v>32.4</v>
      </c>
      <c r="AA8" s="6">
        <v>41.3</v>
      </c>
      <c r="AB8" s="6">
        <v>35.5</v>
      </c>
      <c r="AC8" s="6">
        <v>39.700000000000003</v>
      </c>
      <c r="AD8" s="6">
        <v>38.5</v>
      </c>
      <c r="AE8" s="6">
        <v>37.5</v>
      </c>
      <c r="AF8" s="6">
        <v>44.2</v>
      </c>
      <c r="AG8" s="6">
        <v>42.1</v>
      </c>
      <c r="AH8" s="6">
        <v>40.299999999999997</v>
      </c>
      <c r="AI8" s="6">
        <f>AE8*1.05</f>
        <v>39.375</v>
      </c>
      <c r="AJ8" s="6">
        <f>AF8*1.01</f>
        <v>44.642000000000003</v>
      </c>
      <c r="AK8" s="6">
        <f>AG8*1.06</f>
        <v>44.626000000000005</v>
      </c>
      <c r="AL8" s="6">
        <f>AH8*1.04</f>
        <v>41.911999999999999</v>
      </c>
      <c r="AO8" s="6">
        <f t="shared" si="10"/>
        <v>96.4</v>
      </c>
      <c r="AP8" s="6">
        <f t="shared" si="11"/>
        <v>98.800000000000011</v>
      </c>
      <c r="AQ8" s="6">
        <f>SUM(K8:N8)</f>
        <v>94</v>
      </c>
      <c r="AR8" s="6">
        <f t="shared" si="12"/>
        <v>166.60000000000002</v>
      </c>
      <c r="AS8" s="6">
        <f>SUM(S8:V8)</f>
        <v>148.69999999999999</v>
      </c>
      <c r="AT8" s="6">
        <f t="shared" si="13"/>
        <v>124.69999999999999</v>
      </c>
      <c r="AU8" s="6">
        <f t="shared" si="14"/>
        <v>155</v>
      </c>
      <c r="AV8" s="6">
        <f t="shared" si="15"/>
        <v>164.10000000000002</v>
      </c>
      <c r="AW8" s="12">
        <f t="shared" si="16"/>
        <v>170.55500000000001</v>
      </c>
      <c r="AX8" s="6">
        <f>AW8*1.04</f>
        <v>177.37720000000002</v>
      </c>
      <c r="AY8" s="6">
        <f>AX8*1.03</f>
        <v>182.69851600000001</v>
      </c>
      <c r="AZ8" s="6">
        <f>AY8*1.02</f>
        <v>186.35248632000003</v>
      </c>
      <c r="BA8" s="6">
        <f t="shared" ref="BA8:BC8" si="24">AZ8*1.02</f>
        <v>190.07953604640002</v>
      </c>
      <c r="BB8" s="6">
        <f t="shared" si="24"/>
        <v>193.88112676732803</v>
      </c>
      <c r="BC8" s="6">
        <f t="shared" si="24"/>
        <v>197.7587493026746</v>
      </c>
      <c r="BD8" s="6">
        <f t="shared" si="21"/>
        <v>201.71392428872809</v>
      </c>
      <c r="BE8" s="6">
        <f t="shared" si="22"/>
        <v>205.74820277450266</v>
      </c>
      <c r="BF8" s="6">
        <f t="shared" si="23"/>
        <v>209.86316682999271</v>
      </c>
    </row>
    <row r="9" spans="2:58" x14ac:dyDescent="0.3">
      <c r="B9" t="s">
        <v>35</v>
      </c>
      <c r="C9" s="6">
        <f>1.4+1.5</f>
        <v>2.9</v>
      </c>
      <c r="D9" s="6">
        <f>2.5+2</f>
        <v>4.5</v>
      </c>
      <c r="E9" s="6">
        <f>2.5+2.8</f>
        <v>5.3</v>
      </c>
      <c r="F9" s="6">
        <f>2.6+2.6</f>
        <v>5.2</v>
      </c>
      <c r="G9" s="6">
        <f>2.5+2.4</f>
        <v>4.9000000000000004</v>
      </c>
      <c r="H9" s="6">
        <f>4.3+3</f>
        <v>7.3</v>
      </c>
      <c r="I9" s="6">
        <f>3.5+4.7</f>
        <v>8.1999999999999993</v>
      </c>
      <c r="J9" s="6">
        <f>3.9+3.3</f>
        <v>7.1999999999999993</v>
      </c>
      <c r="K9" s="6">
        <f>3.6+3.3</f>
        <v>6.9</v>
      </c>
      <c r="L9" s="6">
        <f>4.2+3.3</f>
        <v>7.5</v>
      </c>
      <c r="M9" s="6">
        <f>5.1+4</f>
        <v>9.1</v>
      </c>
      <c r="N9" s="6">
        <f>4.7+4.3</f>
        <v>9</v>
      </c>
      <c r="O9" s="6">
        <f>4.6+3.5</f>
        <v>8.1</v>
      </c>
      <c r="P9" s="6">
        <f>4.3+2.8</f>
        <v>7.1</v>
      </c>
      <c r="Q9" s="6">
        <f>4.9+3.4</f>
        <v>8.3000000000000007</v>
      </c>
      <c r="R9" s="6">
        <f>3.5+5.2</f>
        <v>8.6999999999999993</v>
      </c>
      <c r="S9" s="6">
        <f>4.1+5.2</f>
        <v>9.3000000000000007</v>
      </c>
      <c r="T9" s="6">
        <f>3.8+5.1</f>
        <v>8.8999999999999986</v>
      </c>
      <c r="U9" s="6">
        <f>3.1+3.7+7</f>
        <v>13.8</v>
      </c>
      <c r="V9" s="6">
        <f>3+3</f>
        <v>6</v>
      </c>
      <c r="W9" s="6">
        <f>3+3.4</f>
        <v>6.4</v>
      </c>
      <c r="X9" s="6">
        <f>3.1+2.9</f>
        <v>6</v>
      </c>
      <c r="Y9" s="6">
        <f>3.2+2.8</f>
        <v>6</v>
      </c>
      <c r="Z9" s="6">
        <f>3.5+2.8</f>
        <v>6.3</v>
      </c>
      <c r="AA9" s="6">
        <f>3.1+2.7</f>
        <v>5.8000000000000007</v>
      </c>
      <c r="AB9" s="6">
        <f>3+3.3</f>
        <v>6.3</v>
      </c>
      <c r="AC9" s="6">
        <f>2.4+2.3</f>
        <v>4.6999999999999993</v>
      </c>
      <c r="AD9" s="6">
        <f>2.5+2.7+3.5</f>
        <v>8.6999999999999993</v>
      </c>
      <c r="AE9" s="6">
        <f>2.4+2.7</f>
        <v>5.0999999999999996</v>
      </c>
      <c r="AF9" s="6">
        <f>2.5+2.7</f>
        <v>5.2</v>
      </c>
      <c r="AG9" s="6">
        <f>2.5+2.6</f>
        <v>5.0999999999999996</v>
      </c>
      <c r="AH9" s="6">
        <f>2.2+2.6</f>
        <v>4.8000000000000007</v>
      </c>
      <c r="AI9" s="6">
        <v>5</v>
      </c>
      <c r="AJ9" s="6">
        <v>5</v>
      </c>
      <c r="AK9" s="6">
        <v>5</v>
      </c>
      <c r="AL9" s="6">
        <v>5</v>
      </c>
      <c r="AO9" s="6">
        <f t="shared" si="10"/>
        <v>17.899999999999999</v>
      </c>
      <c r="AP9" s="6">
        <f t="shared" si="11"/>
        <v>27.599999999999998</v>
      </c>
      <c r="AQ9" s="6">
        <f>SUM(K9:N9)</f>
        <v>32.5</v>
      </c>
      <c r="AR9" s="6">
        <f t="shared" si="12"/>
        <v>32.200000000000003</v>
      </c>
      <c r="AS9" s="6">
        <f>SUM(S9:V9)</f>
        <v>38</v>
      </c>
      <c r="AT9" s="6">
        <f t="shared" si="13"/>
        <v>24.7</v>
      </c>
      <c r="AU9" s="6">
        <f t="shared" si="14"/>
        <v>25.5</v>
      </c>
      <c r="AV9" s="6">
        <f t="shared" si="15"/>
        <v>20.200000000000003</v>
      </c>
      <c r="AW9" s="12">
        <f t="shared" si="16"/>
        <v>20</v>
      </c>
      <c r="AX9" s="6">
        <f t="shared" ref="AW9:BC9" si="25">AW9*1.01</f>
        <v>20.2</v>
      </c>
      <c r="AY9" s="6">
        <f t="shared" si="25"/>
        <v>20.402000000000001</v>
      </c>
      <c r="AZ9" s="6">
        <f t="shared" si="25"/>
        <v>20.606020000000001</v>
      </c>
      <c r="BA9" s="6">
        <f t="shared" si="25"/>
        <v>20.8120802</v>
      </c>
      <c r="BB9" s="6">
        <f t="shared" si="25"/>
        <v>21.020201002</v>
      </c>
      <c r="BC9" s="6">
        <f t="shared" si="25"/>
        <v>21.230403012020002</v>
      </c>
      <c r="BD9" s="6">
        <f t="shared" ref="BD9" si="26">BC9*1.01</f>
        <v>21.442707042140203</v>
      </c>
      <c r="BE9" s="6">
        <f t="shared" ref="BE9" si="27">BD9*1.01</f>
        <v>21.657134112561604</v>
      </c>
      <c r="BF9" s="6">
        <f t="shared" ref="BF9" si="28">BE9*1.01</f>
        <v>21.873705453687219</v>
      </c>
    </row>
    <row r="10" spans="2:58" x14ac:dyDescent="0.3">
      <c r="B10" t="s">
        <v>36</v>
      </c>
      <c r="C10" s="6">
        <v>-2</v>
      </c>
      <c r="D10" s="6">
        <v>-2.9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23.2</v>
      </c>
      <c r="O10" s="6">
        <v>5.7</v>
      </c>
      <c r="P10" s="6">
        <v>0</v>
      </c>
      <c r="Q10" s="6">
        <v>0</v>
      </c>
      <c r="R10" s="6">
        <v>0</v>
      </c>
      <c r="S10" s="6">
        <v>-1.5</v>
      </c>
      <c r="T10" s="6">
        <v>-0.9</v>
      </c>
      <c r="U10" s="6">
        <v>-1.1000000000000001</v>
      </c>
      <c r="V10" s="6"/>
      <c r="W10" s="6"/>
      <c r="X10" s="6"/>
      <c r="Y10" s="6"/>
      <c r="Z10" s="6">
        <v>0</v>
      </c>
      <c r="AA10" s="6"/>
      <c r="AB10" s="6"/>
      <c r="AC10" s="6">
        <v>0</v>
      </c>
      <c r="AD10" s="6">
        <v>-0.3</v>
      </c>
      <c r="AE10" s="6"/>
      <c r="AF10" s="6"/>
      <c r="AG10" s="6"/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O10" s="6">
        <f t="shared" si="10"/>
        <v>-4.9000000000000004</v>
      </c>
      <c r="AP10" s="6">
        <f t="shared" si="11"/>
        <v>0</v>
      </c>
      <c r="AQ10" s="6">
        <f>SUM(K10:N10)</f>
        <v>23.2</v>
      </c>
      <c r="AR10" s="6">
        <f t="shared" si="12"/>
        <v>5.7</v>
      </c>
      <c r="AS10" s="6">
        <f>SUM(S10:V10)</f>
        <v>-3.5</v>
      </c>
      <c r="AT10" s="6">
        <f t="shared" si="13"/>
        <v>0</v>
      </c>
      <c r="AU10" s="6">
        <f t="shared" si="14"/>
        <v>-0.3</v>
      </c>
      <c r="AV10" s="6">
        <f t="shared" si="15"/>
        <v>0</v>
      </c>
      <c r="AW10" s="12">
        <f t="shared" si="16"/>
        <v>0</v>
      </c>
      <c r="AX10" s="6">
        <v>0</v>
      </c>
      <c r="AY10" s="6">
        <v>0</v>
      </c>
      <c r="AZ10" s="6"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</row>
    <row r="11" spans="2:58" x14ac:dyDescent="0.3">
      <c r="B11" t="s">
        <v>37</v>
      </c>
      <c r="C11" s="6">
        <v>0.1</v>
      </c>
      <c r="D11" s="6">
        <v>-0.1</v>
      </c>
      <c r="E11" s="6">
        <v>0</v>
      </c>
      <c r="F11" s="6">
        <v>0</v>
      </c>
      <c r="G11" s="6">
        <v>9.9</v>
      </c>
      <c r="H11" s="6">
        <v>0.1</v>
      </c>
      <c r="I11" s="6">
        <v>-0.3</v>
      </c>
      <c r="J11" s="6">
        <v>1.5</v>
      </c>
      <c r="K11" s="6">
        <v>0.5</v>
      </c>
      <c r="L11" s="6">
        <v>-0.4</v>
      </c>
      <c r="M11" s="6">
        <v>-0.1</v>
      </c>
      <c r="N11" s="6">
        <v>0.1</v>
      </c>
      <c r="O11" s="6">
        <v>-0.1</v>
      </c>
      <c r="P11" s="6">
        <v>0</v>
      </c>
      <c r="Q11" s="6">
        <v>0</v>
      </c>
      <c r="R11" s="6">
        <v>0</v>
      </c>
      <c r="S11" s="6"/>
      <c r="T11" s="6">
        <v>0</v>
      </c>
      <c r="U11" s="6">
        <v>1.8</v>
      </c>
      <c r="V11" s="6">
        <v>0.4</v>
      </c>
      <c r="W11" s="6"/>
      <c r="X11" s="6">
        <v>10.8</v>
      </c>
      <c r="Y11" s="6">
        <v>5.7</v>
      </c>
      <c r="Z11" s="6">
        <v>18.100000000000001</v>
      </c>
      <c r="AA11" s="6">
        <v>3.5</v>
      </c>
      <c r="AB11" s="6">
        <v>-1.8</v>
      </c>
      <c r="AC11" s="6">
        <v>0.8</v>
      </c>
      <c r="AD11" s="6">
        <v>1.3</v>
      </c>
      <c r="AE11" s="6">
        <v>0.4</v>
      </c>
      <c r="AF11" s="6">
        <v>0.2</v>
      </c>
      <c r="AG11" s="6">
        <v>0.1</v>
      </c>
      <c r="AH11" s="6">
        <v>8.9</v>
      </c>
      <c r="AI11" s="6">
        <v>0</v>
      </c>
      <c r="AJ11" s="6">
        <v>0</v>
      </c>
      <c r="AK11" s="6">
        <v>0</v>
      </c>
      <c r="AL11" s="6">
        <v>0</v>
      </c>
      <c r="AO11" s="6">
        <f t="shared" si="10"/>
        <v>0</v>
      </c>
      <c r="AP11" s="6">
        <f t="shared" si="11"/>
        <v>11.2</v>
      </c>
      <c r="AQ11" s="6">
        <f>SUM(H11:K11)</f>
        <v>1.8</v>
      </c>
      <c r="AR11" s="6">
        <f t="shared" si="12"/>
        <v>-0.1</v>
      </c>
      <c r="AS11" s="6">
        <f>SUM(P11:S11)</f>
        <v>0</v>
      </c>
      <c r="AT11" s="6">
        <f t="shared" si="13"/>
        <v>34.6</v>
      </c>
      <c r="AU11" s="6">
        <f t="shared" si="14"/>
        <v>3.8</v>
      </c>
      <c r="AV11" s="6">
        <f t="shared" si="15"/>
        <v>9.6</v>
      </c>
      <c r="AW11" s="12">
        <f t="shared" si="16"/>
        <v>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</row>
    <row r="12" spans="2:58" x14ac:dyDescent="0.3">
      <c r="B12" t="s">
        <v>38</v>
      </c>
      <c r="C12" s="6">
        <f t="shared" ref="C12:S12" si="29">SUM(C6:C11)</f>
        <v>163.9</v>
      </c>
      <c r="D12" s="6">
        <f t="shared" si="29"/>
        <v>170.8</v>
      </c>
      <c r="E12" s="6">
        <f t="shared" si="29"/>
        <v>178.20000000000002</v>
      </c>
      <c r="F12" s="6">
        <f t="shared" si="29"/>
        <v>175.79999999999998</v>
      </c>
      <c r="G12" s="6">
        <f t="shared" si="29"/>
        <v>193.9</v>
      </c>
      <c r="H12" s="6">
        <f t="shared" si="29"/>
        <v>193.9</v>
      </c>
      <c r="I12" s="6">
        <f t="shared" si="29"/>
        <v>205.29999999999998</v>
      </c>
      <c r="J12" s="6">
        <f t="shared" si="29"/>
        <v>193.99999999999997</v>
      </c>
      <c r="K12" s="6">
        <f t="shared" si="29"/>
        <v>194.79999999999998</v>
      </c>
      <c r="L12" s="6">
        <f t="shared" si="29"/>
        <v>207.29999999999998</v>
      </c>
      <c r="M12" s="6">
        <f t="shared" si="29"/>
        <v>209.60000000000002</v>
      </c>
      <c r="N12" s="6">
        <f t="shared" si="29"/>
        <v>249.09999999999997</v>
      </c>
      <c r="O12" s="6">
        <f t="shared" si="29"/>
        <v>225.69999999999996</v>
      </c>
      <c r="P12" s="6">
        <f t="shared" si="29"/>
        <v>251</v>
      </c>
      <c r="Q12" s="6">
        <f t="shared" si="29"/>
        <v>304.3</v>
      </c>
      <c r="R12" s="6">
        <f t="shared" si="29"/>
        <v>419.7</v>
      </c>
      <c r="S12" s="6">
        <f t="shared" si="29"/>
        <v>369.8</v>
      </c>
      <c r="T12" s="6">
        <f t="shared" ref="T12:U12" si="30">SUM(T6:T11)</f>
        <v>366.6</v>
      </c>
      <c r="U12" s="6">
        <f t="shared" si="30"/>
        <v>398.4</v>
      </c>
      <c r="V12" s="6">
        <f t="shared" ref="V12:W12" si="31">SUM(V6:V11)</f>
        <v>368.19999999999993</v>
      </c>
      <c r="W12" s="6">
        <f t="shared" si="31"/>
        <v>347.19999999999993</v>
      </c>
      <c r="X12" s="6">
        <f t="shared" ref="X12:Y12" si="32">SUM(X6:X11)</f>
        <v>314.50000000000006</v>
      </c>
      <c r="Y12" s="6">
        <f t="shared" si="32"/>
        <v>303.79999999999995</v>
      </c>
      <c r="Z12" s="6">
        <f t="shared" ref="Z12" si="33">SUM(Z6:Z11)</f>
        <v>308.5</v>
      </c>
      <c r="AA12" s="6">
        <f t="shared" ref="AA12" si="34">SUM(AA6:AA11)</f>
        <v>300.39999999999998</v>
      </c>
      <c r="AB12" s="6">
        <f t="shared" ref="AB12:AC12" si="35">SUM(AB6:AB11)</f>
        <v>285</v>
      </c>
      <c r="AC12" s="6">
        <f t="shared" si="35"/>
        <v>307.09999999999997</v>
      </c>
      <c r="AD12" s="6">
        <f t="shared" ref="AD12" si="36">SUM(AD6:AD11)</f>
        <v>309.2</v>
      </c>
      <c r="AE12" s="6">
        <f t="shared" ref="AE12" si="37">SUM(AE6:AE11)</f>
        <v>315.2</v>
      </c>
      <c r="AF12" s="6">
        <f t="shared" ref="AF12:AH12" si="38">SUM(AF6:AF11)</f>
        <v>327.7</v>
      </c>
      <c r="AG12" s="6">
        <f t="shared" si="38"/>
        <v>342.30000000000007</v>
      </c>
      <c r="AH12" s="6">
        <f t="shared" si="38"/>
        <v>332.1</v>
      </c>
      <c r="AI12" s="6">
        <f t="shared" ref="AI12:AL12" si="39">SUM(AI6:AI11)</f>
        <v>317.68370000000004</v>
      </c>
      <c r="AJ12" s="6">
        <f t="shared" si="39"/>
        <v>328.858</v>
      </c>
      <c r="AK12" s="6">
        <f t="shared" si="39"/>
        <v>342.62324999999998</v>
      </c>
      <c r="AL12" s="6">
        <f t="shared" si="39"/>
        <v>330.04203999999999</v>
      </c>
      <c r="AO12" s="6">
        <f>SUM(AO6:AO11)</f>
        <v>688.69999999999993</v>
      </c>
      <c r="AP12" s="6">
        <f>SUM(AP6:AP11)</f>
        <v>787.1</v>
      </c>
      <c r="AQ12" s="6">
        <f>SUM(AQ6:AQ11)</f>
        <v>862.5</v>
      </c>
      <c r="AR12" s="6">
        <f>SUM(AR6:AR11)</f>
        <v>1200.7000000000003</v>
      </c>
      <c r="AS12" s="6">
        <f>SUM(AS6:AS11)</f>
        <v>1500.8</v>
      </c>
      <c r="AT12" s="6">
        <f t="shared" ref="AT12:BC12" si="40">SUM(AT6:AT11)</f>
        <v>1274</v>
      </c>
      <c r="AU12" s="6">
        <f t="shared" si="40"/>
        <v>1201.6999999999998</v>
      </c>
      <c r="AV12" s="6">
        <f t="shared" si="40"/>
        <v>1317.3</v>
      </c>
      <c r="AW12" s="6">
        <f t="shared" si="40"/>
        <v>1319.2069900000001</v>
      </c>
      <c r="AX12" s="6">
        <f t="shared" si="40"/>
        <v>1329.1560224000002</v>
      </c>
      <c r="AY12" s="6">
        <f t="shared" si="40"/>
        <v>1368.6267030720001</v>
      </c>
      <c r="AZ12" s="6">
        <f t="shared" si="40"/>
        <v>1399.2707255334401</v>
      </c>
      <c r="BA12" s="6">
        <f t="shared" si="40"/>
        <v>1427.050079844109</v>
      </c>
      <c r="BB12" s="6">
        <f t="shared" si="40"/>
        <v>1455.3829606389911</v>
      </c>
      <c r="BC12" s="6">
        <f t="shared" si="40"/>
        <v>1484.2804178417509</v>
      </c>
      <c r="BD12" s="6">
        <f t="shared" ref="BD12:BF12" si="41">SUM(BD6:BD11)</f>
        <v>1513.7537221684659</v>
      </c>
      <c r="BE12" s="6">
        <f t="shared" si="41"/>
        <v>1543.8143695414137</v>
      </c>
      <c r="BF12" s="6">
        <f t="shared" si="41"/>
        <v>1574.4740855911164</v>
      </c>
    </row>
    <row r="13" spans="2:58" s="1" customFormat="1" x14ac:dyDescent="0.3">
      <c r="B13" s="1" t="s">
        <v>39</v>
      </c>
      <c r="C13" s="9">
        <f t="shared" ref="C13:S13" si="42">C5-C12</f>
        <v>31.19999999999996</v>
      </c>
      <c r="D13" s="9">
        <f t="shared" si="42"/>
        <v>59</v>
      </c>
      <c r="E13" s="9">
        <f t="shared" si="42"/>
        <v>100.19999999999996</v>
      </c>
      <c r="F13" s="9">
        <f t="shared" si="42"/>
        <v>38.999999999999972</v>
      </c>
      <c r="G13" s="9">
        <f t="shared" si="42"/>
        <v>32.400000000000006</v>
      </c>
      <c r="H13" s="9">
        <f t="shared" si="42"/>
        <v>65.099999999999994</v>
      </c>
      <c r="I13" s="9">
        <f t="shared" si="42"/>
        <v>123.39999999999995</v>
      </c>
      <c r="J13" s="9">
        <f t="shared" si="42"/>
        <v>42.299999999999983</v>
      </c>
      <c r="K13" s="9">
        <f t="shared" si="42"/>
        <v>47.400000000000063</v>
      </c>
      <c r="L13" s="9">
        <f t="shared" si="42"/>
        <v>68.100000000000051</v>
      </c>
      <c r="M13" s="9">
        <f t="shared" si="42"/>
        <v>128.80000000000007</v>
      </c>
      <c r="N13" s="9">
        <f t="shared" si="42"/>
        <v>32.000000000000057</v>
      </c>
      <c r="O13" s="9">
        <f t="shared" si="42"/>
        <v>83.6</v>
      </c>
      <c r="P13" s="9">
        <f t="shared" si="42"/>
        <v>321.60000000000002</v>
      </c>
      <c r="Q13" s="9">
        <f t="shared" si="42"/>
        <v>448.09999999999997</v>
      </c>
      <c r="R13" s="9">
        <f t="shared" si="42"/>
        <v>295.10000000000008</v>
      </c>
      <c r="S13" s="9">
        <f t="shared" si="42"/>
        <v>203.19999999999987</v>
      </c>
      <c r="T13" s="9">
        <f t="shared" ref="T13:U13" si="43">T5-T12</f>
        <v>179.39999999999998</v>
      </c>
      <c r="U13" s="9">
        <f t="shared" si="43"/>
        <v>262.79999999999995</v>
      </c>
      <c r="V13" s="9">
        <f t="shared" ref="V13:W13" si="44">V5-V12</f>
        <v>128.70000000000005</v>
      </c>
      <c r="W13" s="9">
        <f t="shared" si="44"/>
        <v>115.50000000000011</v>
      </c>
      <c r="X13" s="9">
        <f t="shared" ref="X13:Y13" si="45">X5-X12</f>
        <v>127.49999999999994</v>
      </c>
      <c r="Y13" s="9">
        <f t="shared" si="45"/>
        <v>176.60000000000014</v>
      </c>
      <c r="Z13" s="9">
        <f t="shared" ref="Z13" si="46">Z5-Z12</f>
        <v>38.899999999999977</v>
      </c>
      <c r="AA13" s="9">
        <f t="shared" ref="AA13" si="47">AA5-AA12</f>
        <v>78.399999999999977</v>
      </c>
      <c r="AB13" s="9">
        <f t="shared" ref="AB13:AC13" si="48">AB5-AB12</f>
        <v>156.60000000000002</v>
      </c>
      <c r="AC13" s="9">
        <f t="shared" si="48"/>
        <v>221.90000000000003</v>
      </c>
      <c r="AD13" s="9">
        <f t="shared" ref="AD13" si="49">AD5-AD12</f>
        <v>130.19999999999999</v>
      </c>
      <c r="AE13" s="9">
        <f t="shared" ref="AE13" si="50">AE5-AE12</f>
        <v>153.50000000000006</v>
      </c>
      <c r="AF13" s="9">
        <f t="shared" ref="AF13:AH13" si="51">AF5-AF12</f>
        <v>160.80000000000001</v>
      </c>
      <c r="AG13" s="9">
        <f t="shared" si="51"/>
        <v>234.59999999999991</v>
      </c>
      <c r="AH13" s="9">
        <f t="shared" si="51"/>
        <v>106</v>
      </c>
      <c r="AI13" s="9">
        <f t="shared" ref="AI13:AL13" si="52">AI5-AI12</f>
        <v>173.6386</v>
      </c>
      <c r="AJ13" s="9">
        <f t="shared" si="52"/>
        <v>175.01599999999996</v>
      </c>
      <c r="AK13" s="9">
        <f t="shared" si="52"/>
        <v>262.5222</v>
      </c>
      <c r="AL13" s="9">
        <f t="shared" si="52"/>
        <v>121.80884000000003</v>
      </c>
      <c r="AO13" s="9">
        <f>AO5-AO12</f>
        <v>229.40000000000043</v>
      </c>
      <c r="AP13" s="9">
        <f>AP5-AP12</f>
        <v>263.20000000000016</v>
      </c>
      <c r="AQ13" s="9">
        <f>AQ5-AQ12</f>
        <v>274.60000000000036</v>
      </c>
      <c r="AR13" s="9">
        <f>AR5-AR12</f>
        <v>1148.3999999999992</v>
      </c>
      <c r="AS13" s="9">
        <f>AS5-AS12</f>
        <v>776.3</v>
      </c>
      <c r="AT13" s="9">
        <f t="shared" ref="AT13:BC13" si="53">AT5-AT12</f>
        <v>458.50000000000091</v>
      </c>
      <c r="AU13" s="9">
        <f t="shared" si="53"/>
        <v>587.10000000000036</v>
      </c>
      <c r="AV13" s="9">
        <f t="shared" si="53"/>
        <v>654.89999999999986</v>
      </c>
      <c r="AW13" s="9">
        <f t="shared" si="53"/>
        <v>732.98564000000033</v>
      </c>
      <c r="AX13" s="9">
        <f t="shared" si="53"/>
        <v>854.75873919999981</v>
      </c>
      <c r="AY13" s="9">
        <f t="shared" si="53"/>
        <v>880.80550137599994</v>
      </c>
      <c r="AZ13" s="9">
        <f t="shared" si="53"/>
        <v>895.15012300351987</v>
      </c>
      <c r="BA13" s="9">
        <f t="shared" si="53"/>
        <v>913.25918566359042</v>
      </c>
      <c r="BB13" s="9">
        <f t="shared" si="53"/>
        <v>931.73249017886224</v>
      </c>
      <c r="BC13" s="9">
        <f t="shared" si="53"/>
        <v>950.57734199245942</v>
      </c>
      <c r="BD13" s="9">
        <f t="shared" ref="BD13:BF13" si="54">BD5-BD12</f>
        <v>969.80119286242893</v>
      </c>
      <c r="BE13" s="9">
        <f t="shared" si="54"/>
        <v>989.41164379009888</v>
      </c>
      <c r="BF13" s="9">
        <f t="shared" si="54"/>
        <v>1009.4164480070267</v>
      </c>
    </row>
    <row r="14" spans="2:58" x14ac:dyDescent="0.3">
      <c r="B14" t="s">
        <v>40</v>
      </c>
      <c r="C14" s="6">
        <v>-1.2</v>
      </c>
      <c r="D14" s="6">
        <v>-1</v>
      </c>
      <c r="E14" s="6">
        <v>-0.9</v>
      </c>
      <c r="F14" s="6">
        <v>-1.9</v>
      </c>
      <c r="G14" s="6">
        <v>-2.4</v>
      </c>
      <c r="H14" s="6">
        <v>-1.9</v>
      </c>
      <c r="I14" s="6">
        <v>-1.5</v>
      </c>
      <c r="J14" s="6">
        <v>-2.7</v>
      </c>
      <c r="K14" s="6">
        <v>-2.6</v>
      </c>
      <c r="L14" s="6">
        <v>-2.4</v>
      </c>
      <c r="M14" s="6">
        <v>-2.1</v>
      </c>
      <c r="N14" s="6">
        <v>-2.6</v>
      </c>
      <c r="O14" s="6">
        <v>-0.6</v>
      </c>
      <c r="P14" s="6">
        <v>-0.5</v>
      </c>
      <c r="Q14" s="6">
        <v>-0.3</v>
      </c>
      <c r="R14" s="6">
        <v>-0.3</v>
      </c>
      <c r="S14" s="6">
        <v>-0.3</v>
      </c>
      <c r="T14" s="6">
        <v>-0.2</v>
      </c>
      <c r="U14" s="6">
        <v>-0.3</v>
      </c>
      <c r="V14" s="6">
        <v>-0.5</v>
      </c>
      <c r="W14" s="6">
        <v>-1.4</v>
      </c>
      <c r="X14" s="6">
        <v>-3.5</v>
      </c>
      <c r="Y14" s="6">
        <v>-4.7</v>
      </c>
      <c r="Z14" s="6">
        <v>-8.8000000000000007</v>
      </c>
      <c r="AA14" s="6">
        <v>-9.8000000000000007</v>
      </c>
      <c r="AB14" s="6">
        <v>-11.9</v>
      </c>
      <c r="AC14" s="6">
        <v>-12.8</v>
      </c>
      <c r="AD14" s="6">
        <v>-16.100000000000001</v>
      </c>
      <c r="AE14" s="6">
        <v>-15.8</v>
      </c>
      <c r="AF14" s="6">
        <v>-14.6</v>
      </c>
      <c r="AG14" s="6">
        <v>-12.2</v>
      </c>
      <c r="AH14" s="6">
        <v>-12.4</v>
      </c>
      <c r="AI14" s="6">
        <f>AE14*1.03</f>
        <v>-16.274000000000001</v>
      </c>
      <c r="AJ14" s="6">
        <f t="shared" ref="AJ14:AL14" si="55">AF14*1.03</f>
        <v>-15.038</v>
      </c>
      <c r="AK14" s="6">
        <f t="shared" si="55"/>
        <v>-12.565999999999999</v>
      </c>
      <c r="AL14" s="6">
        <f t="shared" si="55"/>
        <v>-12.772</v>
      </c>
      <c r="AO14" s="6">
        <f>SUM(C14:F14)</f>
        <v>-5</v>
      </c>
      <c r="AP14" s="6">
        <f>SUM(G14:J14)</f>
        <v>-8.5</v>
      </c>
      <c r="AQ14" s="6">
        <f>SUM(K14:N14)</f>
        <v>-9.6999999999999993</v>
      </c>
      <c r="AR14" s="6">
        <f>SUM(O14:R14)</f>
        <v>-1.7000000000000002</v>
      </c>
      <c r="AS14" s="6">
        <f>SUM(S14:V14)</f>
        <v>-1.3</v>
      </c>
      <c r="AT14" s="6">
        <f>SUM(W14:Z14)</f>
        <v>-18.400000000000002</v>
      </c>
      <c r="AU14" s="6">
        <f>SUM(AA14:AD14)</f>
        <v>-50.6</v>
      </c>
      <c r="AV14" s="6">
        <f>SUM(AE14:AH14)</f>
        <v>-54.999999999999993</v>
      </c>
      <c r="AW14" s="12">
        <f t="shared" ref="AW14:AW15" si="56">SUM(AI14:AL14)</f>
        <v>-56.65</v>
      </c>
      <c r="AX14" s="6">
        <f t="shared" ref="AX14:BF14" si="57">AW14*1.02</f>
        <v>-57.783000000000001</v>
      </c>
      <c r="AY14" s="6">
        <f t="shared" si="57"/>
        <v>-58.938660000000006</v>
      </c>
      <c r="AZ14" s="6">
        <f t="shared" si="57"/>
        <v>-60.117433200000008</v>
      </c>
      <c r="BA14" s="6">
        <f t="shared" si="57"/>
        <v>-61.319781864000007</v>
      </c>
      <c r="BB14" s="6">
        <f t="shared" si="57"/>
        <v>-62.546177501280006</v>
      </c>
      <c r="BC14" s="6">
        <f t="shared" si="57"/>
        <v>-63.79710105130561</v>
      </c>
      <c r="BD14" s="6">
        <f t="shared" si="57"/>
        <v>-65.073043072331728</v>
      </c>
      <c r="BE14" s="6">
        <f t="shared" si="57"/>
        <v>-66.374503933778371</v>
      </c>
      <c r="BF14" s="6">
        <f t="shared" si="57"/>
        <v>-67.701994012453937</v>
      </c>
    </row>
    <row r="15" spans="2:58" x14ac:dyDescent="0.3">
      <c r="B15" t="s">
        <v>41</v>
      </c>
      <c r="C15" s="6">
        <v>1</v>
      </c>
      <c r="D15" s="6">
        <v>-0.5</v>
      </c>
      <c r="E15" s="6">
        <v>0.3</v>
      </c>
      <c r="F15" s="6">
        <v>1.5</v>
      </c>
      <c r="G15" s="6">
        <v>1.6</v>
      </c>
      <c r="H15" s="6">
        <v>-3.4</v>
      </c>
      <c r="I15" s="6">
        <v>2.7</v>
      </c>
      <c r="J15" s="6">
        <v>-0.5</v>
      </c>
      <c r="K15" s="6">
        <v>-1.9</v>
      </c>
      <c r="L15" s="6">
        <v>0.1</v>
      </c>
      <c r="M15" s="6">
        <v>-1.1000000000000001</v>
      </c>
      <c r="N15" s="6">
        <v>-35.4</v>
      </c>
      <c r="O15" s="6">
        <v>-2</v>
      </c>
      <c r="P15" s="6">
        <v>-1.1000000000000001</v>
      </c>
      <c r="Q15" s="6">
        <v>-6.5</v>
      </c>
      <c r="R15" s="6">
        <v>11.5</v>
      </c>
      <c r="S15" s="6">
        <v>-8.4</v>
      </c>
      <c r="T15" s="6">
        <v>6.7</v>
      </c>
      <c r="U15" s="6">
        <v>3.7</v>
      </c>
      <c r="V15" s="6">
        <v>-2.5</v>
      </c>
      <c r="W15" s="6">
        <v>-5.6</v>
      </c>
      <c r="X15" s="6">
        <v>25.4</v>
      </c>
      <c r="Y15" s="6">
        <v>-1.4</v>
      </c>
      <c r="Z15" s="6">
        <v>-5.0999999999999996</v>
      </c>
      <c r="AA15" s="6">
        <v>13</v>
      </c>
      <c r="AB15" s="6">
        <v>1</v>
      </c>
      <c r="AC15" s="6">
        <v>-0.2</v>
      </c>
      <c r="AD15" s="6">
        <v>2.5</v>
      </c>
      <c r="AE15" s="6">
        <v>1.9</v>
      </c>
      <c r="AF15" s="6">
        <v>-0.5</v>
      </c>
      <c r="AG15" s="6">
        <v>1.5</v>
      </c>
      <c r="AH15" s="6">
        <v>0.1</v>
      </c>
      <c r="AI15" s="6">
        <v>2</v>
      </c>
      <c r="AJ15" s="6">
        <v>2</v>
      </c>
      <c r="AK15" s="6">
        <v>2</v>
      </c>
      <c r="AL15" s="6">
        <v>2</v>
      </c>
      <c r="AO15" s="6">
        <f>SUM(C15:F15)</f>
        <v>2.2999999999999998</v>
      </c>
      <c r="AP15" s="6">
        <f>SUM(G15:J15)</f>
        <v>0.40000000000000036</v>
      </c>
      <c r="AQ15" s="6">
        <f>SUM(K15:N15)</f>
        <v>-38.299999999999997</v>
      </c>
      <c r="AR15" s="6">
        <f>SUM(O15:R15)</f>
        <v>1.9000000000000004</v>
      </c>
      <c r="AS15" s="6">
        <f>SUM(S15:V15)</f>
        <v>-0.5</v>
      </c>
      <c r="AT15" s="6">
        <f>SUM(W15:Z15)</f>
        <v>13.299999999999999</v>
      </c>
      <c r="AU15" s="6">
        <f>SUM(AA15:AD15)</f>
        <v>16.3</v>
      </c>
      <c r="AV15" s="6">
        <f>SUM(AE15:AH15)</f>
        <v>3</v>
      </c>
      <c r="AW15" s="12">
        <f t="shared" si="56"/>
        <v>8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</row>
    <row r="16" spans="2:58" s="1" customFormat="1" x14ac:dyDescent="0.3">
      <c r="B16" s="1" t="s">
        <v>42</v>
      </c>
      <c r="C16" s="9">
        <f t="shared" ref="C16:S16" si="58">C13-C14-C15</f>
        <v>31.399999999999963</v>
      </c>
      <c r="D16" s="9">
        <f t="shared" si="58"/>
        <v>60.5</v>
      </c>
      <c r="E16" s="9">
        <f t="shared" si="58"/>
        <v>100.79999999999997</v>
      </c>
      <c r="F16" s="9">
        <f t="shared" si="58"/>
        <v>39.39999999999997</v>
      </c>
      <c r="G16" s="9">
        <f t="shared" si="58"/>
        <v>33.200000000000003</v>
      </c>
      <c r="H16" s="9">
        <f t="shared" si="58"/>
        <v>70.400000000000006</v>
      </c>
      <c r="I16" s="9">
        <f t="shared" si="58"/>
        <v>122.19999999999995</v>
      </c>
      <c r="J16" s="9">
        <f t="shared" si="58"/>
        <v>45.499999999999986</v>
      </c>
      <c r="K16" s="9">
        <f t="shared" si="58"/>
        <v>51.900000000000063</v>
      </c>
      <c r="L16" s="9">
        <f t="shared" si="58"/>
        <v>70.400000000000063</v>
      </c>
      <c r="M16" s="9">
        <f t="shared" si="58"/>
        <v>132.00000000000006</v>
      </c>
      <c r="N16" s="9">
        <f t="shared" si="58"/>
        <v>70.000000000000057</v>
      </c>
      <c r="O16" s="9">
        <f t="shared" si="58"/>
        <v>86.199999999999989</v>
      </c>
      <c r="P16" s="9">
        <f t="shared" si="58"/>
        <v>323.20000000000005</v>
      </c>
      <c r="Q16" s="9">
        <f t="shared" si="58"/>
        <v>454.9</v>
      </c>
      <c r="R16" s="9">
        <f t="shared" si="58"/>
        <v>283.90000000000009</v>
      </c>
      <c r="S16" s="9">
        <f t="shared" si="58"/>
        <v>211.89999999999989</v>
      </c>
      <c r="T16" s="9">
        <f t="shared" ref="T16:U16" si="59">T13-T14-T15</f>
        <v>172.89999999999998</v>
      </c>
      <c r="U16" s="9">
        <f t="shared" si="59"/>
        <v>259.39999999999998</v>
      </c>
      <c r="V16" s="9">
        <f t="shared" ref="V16:W16" si="60">V13-V14-V15</f>
        <v>131.70000000000005</v>
      </c>
      <c r="W16" s="9">
        <f t="shared" si="60"/>
        <v>122.50000000000011</v>
      </c>
      <c r="X16" s="9">
        <f t="shared" ref="X16:Y16" si="61">X13-X14-X15</f>
        <v>105.59999999999994</v>
      </c>
      <c r="Y16" s="9">
        <f t="shared" si="61"/>
        <v>182.70000000000013</v>
      </c>
      <c r="Z16" s="9">
        <f t="shared" ref="Z16" si="62">Z13-Z14-Z15</f>
        <v>52.799999999999976</v>
      </c>
      <c r="AA16" s="9">
        <f t="shared" ref="AA16" si="63">AA13-AA14-AA15</f>
        <v>75.199999999999974</v>
      </c>
      <c r="AB16" s="9">
        <f t="shared" ref="AB16:AC16" si="64">AB13-AB14-AB15</f>
        <v>167.50000000000003</v>
      </c>
      <c r="AC16" s="9">
        <f t="shared" si="64"/>
        <v>234.90000000000003</v>
      </c>
      <c r="AD16" s="9">
        <f t="shared" ref="AD16" si="65">AD13-AD14-AD15</f>
        <v>143.79999999999998</v>
      </c>
      <c r="AE16" s="9">
        <f t="shared" ref="AE16" si="66">AE13-AE14-AE15</f>
        <v>167.40000000000006</v>
      </c>
      <c r="AF16" s="9">
        <f t="shared" ref="AF16:AH16" si="67">AF13-AF14-AF15</f>
        <v>175.9</v>
      </c>
      <c r="AG16" s="9">
        <f t="shared" si="67"/>
        <v>245.2999999999999</v>
      </c>
      <c r="AH16" s="9">
        <f t="shared" si="67"/>
        <v>118.30000000000001</v>
      </c>
      <c r="AI16" s="9">
        <f t="shared" ref="AI16:AL16" si="68">AI13-AI14-AI15</f>
        <v>187.9126</v>
      </c>
      <c r="AJ16" s="9">
        <f t="shared" si="68"/>
        <v>188.05399999999997</v>
      </c>
      <c r="AK16" s="9">
        <f t="shared" si="68"/>
        <v>273.08819999999997</v>
      </c>
      <c r="AL16" s="9">
        <f t="shared" si="68"/>
        <v>132.58084000000002</v>
      </c>
      <c r="AO16" s="9">
        <f t="shared" ref="AO16:AT16" si="69">AO13-AO14-AO15</f>
        <v>232.10000000000042</v>
      </c>
      <c r="AP16" s="9">
        <f t="shared" si="69"/>
        <v>271.30000000000018</v>
      </c>
      <c r="AQ16" s="9">
        <f t="shared" si="69"/>
        <v>322.60000000000036</v>
      </c>
      <c r="AR16" s="9">
        <f t="shared" si="69"/>
        <v>1148.1999999999991</v>
      </c>
      <c r="AS16" s="9">
        <f t="shared" si="69"/>
        <v>778.09999999999991</v>
      </c>
      <c r="AT16" s="9">
        <f t="shared" si="69"/>
        <v>463.60000000000088</v>
      </c>
      <c r="AU16" s="9">
        <f t="shared" ref="AU16:BC16" si="70">AU13-AU14-AU15</f>
        <v>621.40000000000043</v>
      </c>
      <c r="AV16" s="9">
        <f t="shared" si="70"/>
        <v>706.89999999999986</v>
      </c>
      <c r="AW16" s="9">
        <f t="shared" si="70"/>
        <v>781.63564000000031</v>
      </c>
      <c r="AX16" s="9">
        <f t="shared" si="70"/>
        <v>912.54173919999982</v>
      </c>
      <c r="AY16" s="9">
        <f t="shared" si="70"/>
        <v>939.74416137599997</v>
      </c>
      <c r="AZ16" s="9">
        <f t="shared" si="70"/>
        <v>955.26755620351992</v>
      </c>
      <c r="BA16" s="9">
        <f t="shared" si="70"/>
        <v>974.57896752759041</v>
      </c>
      <c r="BB16" s="9">
        <f t="shared" si="70"/>
        <v>994.27866768014223</v>
      </c>
      <c r="BC16" s="9">
        <f t="shared" si="70"/>
        <v>1014.374443043765</v>
      </c>
      <c r="BD16" s="9">
        <f t="shared" ref="BD16:BF16" si="71">BD13-BD14-BD15</f>
        <v>1034.8742359347607</v>
      </c>
      <c r="BE16" s="9">
        <f t="shared" si="71"/>
        <v>1055.7861477238773</v>
      </c>
      <c r="BF16" s="9">
        <f t="shared" si="71"/>
        <v>1077.1184420194807</v>
      </c>
    </row>
    <row r="17" spans="2:168" x14ac:dyDescent="0.3">
      <c r="B17" t="s">
        <v>43</v>
      </c>
      <c r="C17" s="6">
        <v>-5.4</v>
      </c>
      <c r="D17" s="6">
        <v>4.0999999999999996</v>
      </c>
      <c r="E17" s="6">
        <v>20</v>
      </c>
      <c r="F17" s="6">
        <v>5</v>
      </c>
      <c r="G17" s="6">
        <v>-5.2</v>
      </c>
      <c r="H17" s="6">
        <v>6.2</v>
      </c>
      <c r="I17" s="6">
        <v>9.3000000000000007</v>
      </c>
      <c r="J17" s="6">
        <v>3.3</v>
      </c>
      <c r="K17" s="6">
        <v>6.5</v>
      </c>
      <c r="L17" s="6">
        <v>-2.6</v>
      </c>
      <c r="M17" s="6">
        <v>14.5</v>
      </c>
      <c r="N17" s="6">
        <v>-143.80000000000001</v>
      </c>
      <c r="O17" s="6">
        <v>14</v>
      </c>
      <c r="P17" s="6">
        <v>56.3</v>
      </c>
      <c r="Q17" s="6">
        <v>72.3</v>
      </c>
      <c r="R17" s="6">
        <v>58.2</v>
      </c>
      <c r="S17" s="6">
        <v>25</v>
      </c>
      <c r="T17" s="6">
        <v>33.5</v>
      </c>
      <c r="U17" s="6">
        <v>49.3</v>
      </c>
      <c r="V17" s="6">
        <v>23.5</v>
      </c>
      <c r="W17" s="6">
        <v>21.7</v>
      </c>
      <c r="X17" s="6">
        <v>23.4</v>
      </c>
      <c r="Y17" s="6">
        <v>42.7</v>
      </c>
      <c r="Z17" s="6">
        <v>11.2</v>
      </c>
      <c r="AA17" s="6">
        <v>12.5</v>
      </c>
      <c r="AB17" s="6">
        <v>30.3</v>
      </c>
      <c r="AC17" s="6">
        <v>-9.6</v>
      </c>
      <c r="AD17" s="6">
        <v>-23.8</v>
      </c>
      <c r="AE17" s="6">
        <v>25.6</v>
      </c>
      <c r="AF17" s="6">
        <v>30.6</v>
      </c>
      <c r="AG17" s="6">
        <v>45.1</v>
      </c>
      <c r="AH17" s="6">
        <v>-25.9</v>
      </c>
      <c r="AI17" s="6">
        <f>AI16*0.17</f>
        <v>31.945142000000001</v>
      </c>
      <c r="AJ17" s="6">
        <f t="shared" ref="AJ17:AL17" si="72">AJ16*0.17</f>
        <v>31.969179999999998</v>
      </c>
      <c r="AK17" s="6">
        <f t="shared" si="72"/>
        <v>46.424993999999998</v>
      </c>
      <c r="AL17" s="6">
        <f t="shared" si="72"/>
        <v>22.538742800000005</v>
      </c>
      <c r="AO17" s="6">
        <f>SUM(C17:F17)</f>
        <v>23.7</v>
      </c>
      <c r="AP17" s="6">
        <f>SUM(G17:J17)</f>
        <v>13.600000000000001</v>
      </c>
      <c r="AQ17" s="6">
        <f>SUM(K17:N17)</f>
        <v>-125.4</v>
      </c>
      <c r="AR17" s="6">
        <f>SUM(O17:R17)</f>
        <v>200.8</v>
      </c>
      <c r="AS17" s="6">
        <f>SUM(S17:V17)</f>
        <v>131.30000000000001</v>
      </c>
      <c r="AT17" s="6">
        <f>SUM(W17:Z17)</f>
        <v>99</v>
      </c>
      <c r="AU17" s="6">
        <f>SUM(AA17:AD17)</f>
        <v>9.399999999999995</v>
      </c>
      <c r="AV17" s="6">
        <f>SUM(AE17:AH17)</f>
        <v>75.400000000000006</v>
      </c>
      <c r="AW17" s="12">
        <f>SUM(AI17:AL17)</f>
        <v>132.87805879999999</v>
      </c>
      <c r="AX17" s="6">
        <f t="shared" ref="AW17:BC17" si="73">AX16*0.18</f>
        <v>164.25751305599996</v>
      </c>
      <c r="AY17" s="6">
        <f t="shared" si="73"/>
        <v>169.15394904767999</v>
      </c>
      <c r="AZ17" s="6">
        <f t="shared" si="73"/>
        <v>171.94816011663357</v>
      </c>
      <c r="BA17" s="6">
        <f t="shared" si="73"/>
        <v>175.42421415496628</v>
      </c>
      <c r="BB17" s="6">
        <f t="shared" si="73"/>
        <v>178.97016018242559</v>
      </c>
      <c r="BC17" s="6">
        <f t="shared" si="73"/>
        <v>182.5873997478777</v>
      </c>
      <c r="BD17" s="6">
        <f t="shared" ref="BD17:BF17" si="74">BD16*0.18</f>
        <v>186.27736246825691</v>
      </c>
      <c r="BE17" s="6">
        <f t="shared" si="74"/>
        <v>190.0415065902979</v>
      </c>
      <c r="BF17" s="6">
        <f t="shared" si="74"/>
        <v>193.88131956350651</v>
      </c>
    </row>
    <row r="18" spans="2:168" s="1" customFormat="1" x14ac:dyDescent="0.3">
      <c r="B18" s="1" t="s">
        <v>44</v>
      </c>
      <c r="C18" s="9">
        <f t="shared" ref="C18:S18" si="75">C16-C17</f>
        <v>36.799999999999962</v>
      </c>
      <c r="D18" s="9">
        <f t="shared" si="75"/>
        <v>56.4</v>
      </c>
      <c r="E18" s="9">
        <f t="shared" si="75"/>
        <v>80.799999999999969</v>
      </c>
      <c r="F18" s="9">
        <f t="shared" si="75"/>
        <v>34.39999999999997</v>
      </c>
      <c r="G18" s="9">
        <f t="shared" si="75"/>
        <v>38.400000000000006</v>
      </c>
      <c r="H18" s="9">
        <f t="shared" si="75"/>
        <v>64.2</v>
      </c>
      <c r="I18" s="9">
        <f t="shared" si="75"/>
        <v>112.89999999999995</v>
      </c>
      <c r="J18" s="9">
        <f t="shared" si="75"/>
        <v>42.199999999999989</v>
      </c>
      <c r="K18" s="9">
        <f t="shared" si="75"/>
        <v>45.400000000000063</v>
      </c>
      <c r="L18" s="9">
        <f t="shared" si="75"/>
        <v>73.000000000000057</v>
      </c>
      <c r="M18" s="9">
        <f t="shared" si="75"/>
        <v>117.50000000000006</v>
      </c>
      <c r="N18" s="9">
        <f t="shared" si="75"/>
        <v>213.80000000000007</v>
      </c>
      <c r="O18" s="9">
        <f t="shared" si="75"/>
        <v>72.199999999999989</v>
      </c>
      <c r="P18" s="9">
        <f t="shared" si="75"/>
        <v>266.90000000000003</v>
      </c>
      <c r="Q18" s="9">
        <f t="shared" si="75"/>
        <v>382.59999999999997</v>
      </c>
      <c r="R18" s="9">
        <f t="shared" si="75"/>
        <v>225.7000000000001</v>
      </c>
      <c r="S18" s="9">
        <f t="shared" si="75"/>
        <v>186.89999999999989</v>
      </c>
      <c r="T18" s="9">
        <f t="shared" ref="T18:U18" si="76">T16-T17</f>
        <v>139.39999999999998</v>
      </c>
      <c r="U18" s="9">
        <f t="shared" si="76"/>
        <v>210.09999999999997</v>
      </c>
      <c r="V18" s="9">
        <f t="shared" ref="V18:W18" si="77">V16-V17</f>
        <v>108.20000000000005</v>
      </c>
      <c r="W18" s="9">
        <f t="shared" si="77"/>
        <v>100.80000000000011</v>
      </c>
      <c r="X18" s="9">
        <f t="shared" ref="X18:Y18" si="78">X16-X17</f>
        <v>82.199999999999932</v>
      </c>
      <c r="Y18" s="9">
        <f t="shared" si="78"/>
        <v>140.00000000000011</v>
      </c>
      <c r="Z18" s="9">
        <f t="shared" ref="Z18" si="79">Z16-Z17</f>
        <v>41.59999999999998</v>
      </c>
      <c r="AA18" s="9">
        <f t="shared" ref="AA18" si="80">AA16-AA17</f>
        <v>62.699999999999974</v>
      </c>
      <c r="AB18" s="9">
        <f t="shared" ref="AB18:AC18" si="81">AB16-AB17</f>
        <v>137.20000000000002</v>
      </c>
      <c r="AC18" s="9">
        <f t="shared" si="81"/>
        <v>244.50000000000003</v>
      </c>
      <c r="AD18" s="9">
        <f t="shared" ref="AD18" si="82">AD16-AD17</f>
        <v>167.6</v>
      </c>
      <c r="AE18" s="9">
        <f t="shared" ref="AE18" si="83">AE16-AE17</f>
        <v>141.80000000000007</v>
      </c>
      <c r="AF18" s="9">
        <f t="shared" ref="AF18:AH18" si="84">AF16-AF17</f>
        <v>145.30000000000001</v>
      </c>
      <c r="AG18" s="9">
        <f t="shared" si="84"/>
        <v>200.1999999999999</v>
      </c>
      <c r="AH18" s="9">
        <f t="shared" si="84"/>
        <v>144.20000000000002</v>
      </c>
      <c r="AI18" s="9">
        <f t="shared" ref="AI18:AL18" si="85">AI16-AI17</f>
        <v>155.96745799999999</v>
      </c>
      <c r="AJ18" s="9">
        <f t="shared" si="85"/>
        <v>156.08481999999998</v>
      </c>
      <c r="AK18" s="9">
        <f t="shared" si="85"/>
        <v>226.66320599999997</v>
      </c>
      <c r="AL18" s="9">
        <f t="shared" si="85"/>
        <v>110.04209720000001</v>
      </c>
      <c r="AO18" s="9">
        <f t="shared" ref="AO18:AT18" si="86">AO16-AO17</f>
        <v>208.40000000000043</v>
      </c>
      <c r="AP18" s="9">
        <f t="shared" si="86"/>
        <v>257.70000000000016</v>
      </c>
      <c r="AQ18" s="9">
        <f t="shared" si="86"/>
        <v>448.00000000000034</v>
      </c>
      <c r="AR18" s="9">
        <f t="shared" si="86"/>
        <v>947.39999999999918</v>
      </c>
      <c r="AS18" s="9">
        <f t="shared" si="86"/>
        <v>646.79999999999995</v>
      </c>
      <c r="AT18" s="9">
        <f t="shared" si="86"/>
        <v>364.60000000000088</v>
      </c>
      <c r="AU18" s="9">
        <f t="shared" ref="AU18:BC18" si="87">AU16-AU17</f>
        <v>612.00000000000045</v>
      </c>
      <c r="AV18" s="9">
        <f t="shared" si="87"/>
        <v>631.49999999999989</v>
      </c>
      <c r="AW18" s="9">
        <f t="shared" si="87"/>
        <v>648.75758120000035</v>
      </c>
      <c r="AX18" s="9">
        <f t="shared" si="87"/>
        <v>748.28422614399983</v>
      </c>
      <c r="AY18" s="9">
        <f t="shared" si="87"/>
        <v>770.59021232831992</v>
      </c>
      <c r="AZ18" s="9">
        <f t="shared" si="87"/>
        <v>783.3193960868864</v>
      </c>
      <c r="BA18" s="9">
        <f t="shared" si="87"/>
        <v>799.1547533726241</v>
      </c>
      <c r="BB18" s="9">
        <f t="shared" si="87"/>
        <v>815.30850749771662</v>
      </c>
      <c r="BC18" s="9">
        <f t="shared" si="87"/>
        <v>831.78704329588732</v>
      </c>
      <c r="BD18" s="9">
        <f t="shared" ref="BD18:BF18" si="88">BD16-BD17</f>
        <v>848.59687346650378</v>
      </c>
      <c r="BE18" s="9">
        <f t="shared" si="88"/>
        <v>865.74464113357942</v>
      </c>
      <c r="BF18" s="9">
        <f t="shared" si="88"/>
        <v>883.23712245597414</v>
      </c>
      <c r="BG18" s="1">
        <f>BF18*(1+$BI$24)</f>
        <v>874.40475123141437</v>
      </c>
      <c r="BH18" s="1">
        <f t="shared" ref="BH18:DS18" si="89">BG18*(1+$BI$24)</f>
        <v>865.66070371910018</v>
      </c>
      <c r="BI18" s="1">
        <f t="shared" si="89"/>
        <v>857.00409668190912</v>
      </c>
      <c r="BJ18" s="1">
        <f t="shared" si="89"/>
        <v>848.43405571509004</v>
      </c>
      <c r="BK18" s="1">
        <f t="shared" si="89"/>
        <v>839.94971515793918</v>
      </c>
      <c r="BL18" s="1">
        <f t="shared" si="89"/>
        <v>831.55021800635973</v>
      </c>
      <c r="BM18" s="1">
        <f t="shared" si="89"/>
        <v>823.23471582629611</v>
      </c>
      <c r="BN18" s="1">
        <f t="shared" si="89"/>
        <v>815.00236866803311</v>
      </c>
      <c r="BO18" s="1">
        <f t="shared" si="89"/>
        <v>806.85234498135276</v>
      </c>
      <c r="BP18" s="1">
        <f t="shared" si="89"/>
        <v>798.78382153153927</v>
      </c>
      <c r="BQ18" s="1">
        <f t="shared" si="89"/>
        <v>790.7959833162239</v>
      </c>
      <c r="BR18" s="1">
        <f t="shared" si="89"/>
        <v>782.8880234830616</v>
      </c>
      <c r="BS18" s="1">
        <f t="shared" si="89"/>
        <v>775.05914324823095</v>
      </c>
      <c r="BT18" s="1">
        <f t="shared" si="89"/>
        <v>767.30855181574861</v>
      </c>
      <c r="BU18" s="1">
        <f t="shared" si="89"/>
        <v>759.63546629759117</v>
      </c>
      <c r="BV18" s="1">
        <f t="shared" si="89"/>
        <v>752.03911163461521</v>
      </c>
      <c r="BW18" s="1">
        <f t="shared" si="89"/>
        <v>744.51872051826911</v>
      </c>
      <c r="BX18" s="1">
        <f t="shared" si="89"/>
        <v>737.07353331308639</v>
      </c>
      <c r="BY18" s="1">
        <f t="shared" si="89"/>
        <v>729.70279797995556</v>
      </c>
      <c r="BZ18" s="1">
        <f t="shared" si="89"/>
        <v>722.40577000015605</v>
      </c>
      <c r="CA18" s="1">
        <f t="shared" si="89"/>
        <v>715.18171230015446</v>
      </c>
      <c r="CB18" s="1">
        <f t="shared" si="89"/>
        <v>708.02989517715287</v>
      </c>
      <c r="CC18" s="1">
        <f t="shared" si="89"/>
        <v>700.94959622538136</v>
      </c>
      <c r="CD18" s="1">
        <f t="shared" si="89"/>
        <v>693.94010026312753</v>
      </c>
      <c r="CE18" s="1">
        <f t="shared" si="89"/>
        <v>687.00069926049628</v>
      </c>
      <c r="CF18" s="1">
        <f t="shared" si="89"/>
        <v>680.13069226789128</v>
      </c>
      <c r="CG18" s="1">
        <f t="shared" si="89"/>
        <v>673.32938534521236</v>
      </c>
      <c r="CH18" s="1">
        <f t="shared" si="89"/>
        <v>666.59609149176026</v>
      </c>
      <c r="CI18" s="1">
        <f t="shared" si="89"/>
        <v>659.93013057684266</v>
      </c>
      <c r="CJ18" s="1">
        <f t="shared" si="89"/>
        <v>653.33082927107421</v>
      </c>
      <c r="CK18" s="1">
        <f t="shared" si="89"/>
        <v>646.79752097836342</v>
      </c>
      <c r="CL18" s="1">
        <f t="shared" si="89"/>
        <v>640.32954576857981</v>
      </c>
      <c r="CM18" s="1">
        <f t="shared" si="89"/>
        <v>633.92625031089403</v>
      </c>
      <c r="CN18" s="1">
        <f t="shared" si="89"/>
        <v>627.58698780778514</v>
      </c>
      <c r="CO18" s="1">
        <f t="shared" si="89"/>
        <v>621.31111792970728</v>
      </c>
      <c r="CP18" s="1">
        <f t="shared" si="89"/>
        <v>615.09800675041015</v>
      </c>
      <c r="CQ18" s="1">
        <f t="shared" si="89"/>
        <v>608.94702668290608</v>
      </c>
      <c r="CR18" s="1">
        <f t="shared" si="89"/>
        <v>602.85755641607705</v>
      </c>
      <c r="CS18" s="1">
        <f t="shared" si="89"/>
        <v>596.8289808519163</v>
      </c>
      <c r="CT18" s="1">
        <f t="shared" si="89"/>
        <v>590.86069104339708</v>
      </c>
      <c r="CU18" s="1">
        <f t="shared" si="89"/>
        <v>584.95208413296314</v>
      </c>
      <c r="CV18" s="1">
        <f t="shared" si="89"/>
        <v>579.10256329163349</v>
      </c>
      <c r="CW18" s="1">
        <f t="shared" si="89"/>
        <v>573.31153765871716</v>
      </c>
      <c r="CX18" s="1">
        <f t="shared" si="89"/>
        <v>567.57842228212996</v>
      </c>
      <c r="CY18" s="1">
        <f t="shared" si="89"/>
        <v>561.90263805930863</v>
      </c>
      <c r="CZ18" s="1">
        <f t="shared" si="89"/>
        <v>556.28361167871549</v>
      </c>
      <c r="DA18" s="1">
        <f t="shared" si="89"/>
        <v>550.72077556192835</v>
      </c>
      <c r="DB18" s="1">
        <f t="shared" si="89"/>
        <v>545.21356780630902</v>
      </c>
      <c r="DC18" s="1">
        <f t="shared" si="89"/>
        <v>539.76143212824593</v>
      </c>
      <c r="DD18" s="1">
        <f t="shared" si="89"/>
        <v>534.36381780696343</v>
      </c>
      <c r="DE18" s="1">
        <f t="shared" si="89"/>
        <v>529.02017962889374</v>
      </c>
      <c r="DF18" s="1">
        <f t="shared" si="89"/>
        <v>523.72997783260485</v>
      </c>
      <c r="DG18" s="1">
        <f t="shared" si="89"/>
        <v>518.49267805427883</v>
      </c>
      <c r="DH18" s="1">
        <f t="shared" si="89"/>
        <v>513.30775127373602</v>
      </c>
      <c r="DI18" s="1">
        <f t="shared" si="89"/>
        <v>508.17467376099864</v>
      </c>
      <c r="DJ18" s="1">
        <f t="shared" si="89"/>
        <v>503.09292702338865</v>
      </c>
      <c r="DK18" s="1">
        <f t="shared" si="89"/>
        <v>498.06199775315474</v>
      </c>
      <c r="DL18" s="1">
        <f t="shared" si="89"/>
        <v>493.0813777756232</v>
      </c>
      <c r="DM18" s="1">
        <f t="shared" si="89"/>
        <v>488.15056399786698</v>
      </c>
      <c r="DN18" s="1">
        <f t="shared" si="89"/>
        <v>483.2690583578883</v>
      </c>
      <c r="DO18" s="1">
        <f t="shared" si="89"/>
        <v>478.43636777430942</v>
      </c>
      <c r="DP18" s="1">
        <f t="shared" si="89"/>
        <v>473.65200409656632</v>
      </c>
      <c r="DQ18" s="1">
        <f t="shared" si="89"/>
        <v>468.91548405560064</v>
      </c>
      <c r="DR18" s="1">
        <f t="shared" si="89"/>
        <v>464.22632921504464</v>
      </c>
      <c r="DS18" s="1">
        <f t="shared" si="89"/>
        <v>459.58406592289418</v>
      </c>
      <c r="DT18" s="1">
        <f t="shared" ref="DT18:FL18" si="90">DS18*(1+$BI$24)</f>
        <v>454.98822526366524</v>
      </c>
      <c r="DU18" s="1">
        <f t="shared" si="90"/>
        <v>450.43834301102856</v>
      </c>
      <c r="DV18" s="1">
        <f t="shared" si="90"/>
        <v>445.93395958091827</v>
      </c>
      <c r="DW18" s="1">
        <f t="shared" si="90"/>
        <v>441.47461998510909</v>
      </c>
      <c r="DX18" s="1">
        <f t="shared" si="90"/>
        <v>437.05987378525799</v>
      </c>
      <c r="DY18" s="1">
        <f t="shared" si="90"/>
        <v>432.68927504740543</v>
      </c>
      <c r="DZ18" s="1">
        <f t="shared" si="90"/>
        <v>428.3623822969314</v>
      </c>
      <c r="EA18" s="1">
        <f t="shared" si="90"/>
        <v>424.07875847396207</v>
      </c>
      <c r="EB18" s="1">
        <f t="shared" si="90"/>
        <v>419.83797088922245</v>
      </c>
      <c r="EC18" s="1">
        <f t="shared" si="90"/>
        <v>415.63959118033023</v>
      </c>
      <c r="ED18" s="1">
        <f t="shared" si="90"/>
        <v>411.48319526852691</v>
      </c>
      <c r="EE18" s="1">
        <f t="shared" si="90"/>
        <v>407.36836331584163</v>
      </c>
      <c r="EF18" s="1">
        <f t="shared" si="90"/>
        <v>403.29467968268324</v>
      </c>
      <c r="EG18" s="1">
        <f t="shared" si="90"/>
        <v>399.26173288585642</v>
      </c>
      <c r="EH18" s="1">
        <f t="shared" si="90"/>
        <v>395.26911555699786</v>
      </c>
      <c r="EI18" s="1">
        <f t="shared" si="90"/>
        <v>391.31642440142787</v>
      </c>
      <c r="EJ18" s="1">
        <f t="shared" si="90"/>
        <v>387.40326015741357</v>
      </c>
      <c r="EK18" s="1">
        <f t="shared" si="90"/>
        <v>383.52922755583944</v>
      </c>
      <c r="EL18" s="1">
        <f t="shared" si="90"/>
        <v>379.69393528028104</v>
      </c>
      <c r="EM18" s="1">
        <f t="shared" si="90"/>
        <v>375.8969959274782</v>
      </c>
      <c r="EN18" s="1">
        <f t="shared" si="90"/>
        <v>372.13802596820341</v>
      </c>
      <c r="EO18" s="1">
        <f t="shared" si="90"/>
        <v>368.41664570852134</v>
      </c>
      <c r="EP18" s="1">
        <f t="shared" si="90"/>
        <v>364.73247925143613</v>
      </c>
      <c r="EQ18" s="1">
        <f t="shared" si="90"/>
        <v>361.08515445892175</v>
      </c>
      <c r="ER18" s="1">
        <f t="shared" si="90"/>
        <v>357.47430291433255</v>
      </c>
      <c r="ES18" s="1">
        <f t="shared" si="90"/>
        <v>353.89955988518921</v>
      </c>
      <c r="ET18" s="1">
        <f t="shared" si="90"/>
        <v>350.36056428633731</v>
      </c>
      <c r="EU18" s="1">
        <f t="shared" si="90"/>
        <v>346.85695864347394</v>
      </c>
      <c r="EV18" s="1">
        <f t="shared" si="90"/>
        <v>343.38838905703921</v>
      </c>
      <c r="EW18" s="1">
        <f t="shared" si="90"/>
        <v>339.95450516646883</v>
      </c>
      <c r="EX18" s="1">
        <f t="shared" si="90"/>
        <v>336.55496011480415</v>
      </c>
      <c r="EY18" s="1">
        <f t="shared" si="90"/>
        <v>333.18941051365613</v>
      </c>
      <c r="EZ18" s="1">
        <f t="shared" si="90"/>
        <v>329.85751640851959</v>
      </c>
      <c r="FA18" s="1">
        <f t="shared" si="90"/>
        <v>326.55894124443438</v>
      </c>
      <c r="FB18" s="1">
        <f t="shared" si="90"/>
        <v>323.29335183199004</v>
      </c>
      <c r="FC18" s="1">
        <f t="shared" si="90"/>
        <v>320.06041831367014</v>
      </c>
      <c r="FD18" s="1">
        <f t="shared" si="90"/>
        <v>316.85981413053344</v>
      </c>
      <c r="FE18" s="1">
        <f t="shared" si="90"/>
        <v>313.69121598922811</v>
      </c>
      <c r="FF18" s="1">
        <f t="shared" si="90"/>
        <v>310.55430382933582</v>
      </c>
      <c r="FG18" s="1">
        <f t="shared" si="90"/>
        <v>307.44876079104245</v>
      </c>
      <c r="FH18" s="1">
        <f t="shared" si="90"/>
        <v>304.374273183132</v>
      </c>
      <c r="FI18" s="1">
        <f t="shared" si="90"/>
        <v>301.33053045130066</v>
      </c>
      <c r="FJ18" s="1">
        <f t="shared" si="90"/>
        <v>298.31722514678768</v>
      </c>
      <c r="FK18" s="1">
        <f t="shared" si="90"/>
        <v>295.33405289531981</v>
      </c>
      <c r="FL18" s="1">
        <f t="shared" si="90"/>
        <v>292.38071236636659</v>
      </c>
    </row>
    <row r="19" spans="2:168" x14ac:dyDescent="0.3">
      <c r="B19" t="s">
        <v>2</v>
      </c>
      <c r="C19" s="6">
        <v>168.4</v>
      </c>
      <c r="D19" s="6">
        <v>168.4</v>
      </c>
      <c r="E19" s="6">
        <v>168.4</v>
      </c>
      <c r="F19" s="6">
        <v>168.4</v>
      </c>
      <c r="G19" s="6">
        <v>168.4</v>
      </c>
      <c r="H19" s="6">
        <v>168.4</v>
      </c>
      <c r="I19" s="6">
        <v>168.4</v>
      </c>
      <c r="J19" s="6">
        <v>168.4</v>
      </c>
      <c r="K19" s="6">
        <v>168.4</v>
      </c>
      <c r="L19" s="6">
        <v>168.4</v>
      </c>
      <c r="M19" s="6">
        <v>168.4</v>
      </c>
      <c r="N19" s="6">
        <v>168.4</v>
      </c>
      <c r="O19" s="6">
        <v>168.4</v>
      </c>
      <c r="P19" s="6">
        <v>168.4</v>
      </c>
      <c r="Q19" s="6">
        <v>168.4</v>
      </c>
      <c r="R19" s="6">
        <v>168.4</v>
      </c>
      <c r="S19" s="6">
        <v>168.4</v>
      </c>
      <c r="T19" s="6">
        <v>168.4</v>
      </c>
      <c r="U19" s="6">
        <v>168.4</v>
      </c>
      <c r="V19" s="6">
        <v>168.4</v>
      </c>
      <c r="W19" s="6">
        <v>168.4</v>
      </c>
      <c r="X19" s="6">
        <v>168.4</v>
      </c>
      <c r="Y19" s="6">
        <v>168.4</v>
      </c>
      <c r="Z19" s="6">
        <v>168.4</v>
      </c>
      <c r="AA19" s="6">
        <v>168.4</v>
      </c>
      <c r="AB19" s="6">
        <v>168.4</v>
      </c>
      <c r="AC19" s="6">
        <v>168.4</v>
      </c>
      <c r="AD19" s="6">
        <v>168.4</v>
      </c>
      <c r="AE19" s="6">
        <v>168.4</v>
      </c>
      <c r="AF19" s="6">
        <v>151.6</v>
      </c>
      <c r="AG19" s="6">
        <f>149.2</f>
        <v>149.19999999999999</v>
      </c>
      <c r="AH19" s="6">
        <f>149</f>
        <v>149</v>
      </c>
      <c r="AI19" s="6">
        <f>149</f>
        <v>149</v>
      </c>
      <c r="AJ19" s="6">
        <f>149</f>
        <v>149</v>
      </c>
      <c r="AK19" s="6">
        <f>149</f>
        <v>149</v>
      </c>
      <c r="AL19" s="6">
        <f>149</f>
        <v>149</v>
      </c>
      <c r="AO19" s="6">
        <v>168.4</v>
      </c>
      <c r="AP19" s="6">
        <v>168.4</v>
      </c>
      <c r="AQ19" s="6">
        <v>168.4</v>
      </c>
      <c r="AR19" s="6">
        <v>168.4</v>
      </c>
      <c r="AS19" s="6">
        <v>168.4</v>
      </c>
      <c r="AT19" s="6">
        <v>168.4</v>
      </c>
      <c r="AU19" s="6">
        <v>168.4</v>
      </c>
      <c r="AV19" s="6">
        <f>149</f>
        <v>149</v>
      </c>
      <c r="AW19" s="6">
        <f>149</f>
        <v>149</v>
      </c>
      <c r="AX19" s="6">
        <f>149</f>
        <v>149</v>
      </c>
      <c r="AY19" s="6">
        <f>149</f>
        <v>149</v>
      </c>
      <c r="AZ19" s="6">
        <f>149</f>
        <v>149</v>
      </c>
      <c r="BA19" s="6">
        <f>149</f>
        <v>149</v>
      </c>
      <c r="BB19" s="6">
        <f>149</f>
        <v>149</v>
      </c>
      <c r="BC19" s="6">
        <f>149</f>
        <v>149</v>
      </c>
      <c r="BD19" s="6">
        <f>149</f>
        <v>149</v>
      </c>
      <c r="BE19" s="6">
        <f>149</f>
        <v>149</v>
      </c>
      <c r="BF19" s="6">
        <f>149</f>
        <v>149</v>
      </c>
    </row>
    <row r="20" spans="2:168" s="1" customFormat="1" x14ac:dyDescent="0.3">
      <c r="B20" s="1" t="s">
        <v>45</v>
      </c>
      <c r="C20" s="8">
        <f t="shared" ref="C20:S20" si="91">C18/C19</f>
        <v>0.21852731591448907</v>
      </c>
      <c r="D20" s="8">
        <f t="shared" si="91"/>
        <v>0.33491686460807601</v>
      </c>
      <c r="E20" s="8">
        <f t="shared" si="91"/>
        <v>0.4798099762470307</v>
      </c>
      <c r="F20" s="8">
        <f t="shared" si="91"/>
        <v>0.20427553444180505</v>
      </c>
      <c r="G20" s="8">
        <f t="shared" si="91"/>
        <v>0.22802850356294541</v>
      </c>
      <c r="H20" s="8">
        <f t="shared" si="91"/>
        <v>0.38123515439429928</v>
      </c>
      <c r="I20" s="8">
        <f t="shared" si="91"/>
        <v>0.67042755344418015</v>
      </c>
      <c r="J20" s="8">
        <f t="shared" si="91"/>
        <v>0.25059382422802845</v>
      </c>
      <c r="K20" s="8">
        <f t="shared" si="91"/>
        <v>0.26959619952494096</v>
      </c>
      <c r="L20" s="8">
        <f t="shared" si="91"/>
        <v>0.43349168646080793</v>
      </c>
      <c r="M20" s="8">
        <f t="shared" si="91"/>
        <v>0.69774346793349196</v>
      </c>
      <c r="N20" s="8">
        <f t="shared" si="91"/>
        <v>1.269596199524941</v>
      </c>
      <c r="O20" s="8">
        <f t="shared" si="91"/>
        <v>0.4287410926365795</v>
      </c>
      <c r="P20" s="8">
        <f t="shared" si="91"/>
        <v>1.5849168646080762</v>
      </c>
      <c r="Q20" s="8">
        <f t="shared" si="91"/>
        <v>2.2719714964370543</v>
      </c>
      <c r="R20" s="8">
        <f t="shared" si="91"/>
        <v>1.3402612826603331</v>
      </c>
      <c r="S20" s="8">
        <f t="shared" si="91"/>
        <v>1.1098574821852725</v>
      </c>
      <c r="T20" s="8">
        <f t="shared" ref="T20:U20" si="92">T18/T19</f>
        <v>0.82779097387173384</v>
      </c>
      <c r="U20" s="8">
        <f t="shared" si="92"/>
        <v>1.2476247030878858</v>
      </c>
      <c r="V20" s="8">
        <f t="shared" ref="V20:W20" si="93">V18/V19</f>
        <v>0.64251781472684111</v>
      </c>
      <c r="W20" s="8">
        <f t="shared" si="93"/>
        <v>0.59857482185273225</v>
      </c>
      <c r="X20" s="8">
        <f t="shared" ref="X20:Y20" si="94">X18/X19</f>
        <v>0.4881235154394295</v>
      </c>
      <c r="Y20" s="8">
        <f t="shared" si="94"/>
        <v>0.83135391923990565</v>
      </c>
      <c r="Z20" s="8">
        <f t="shared" ref="Z20" si="95">Z18/Z19</f>
        <v>0.24703087885985736</v>
      </c>
      <c r="AA20" s="8">
        <f t="shared" ref="AA20" si="96">AA18/AA19</f>
        <v>0.37232779097387159</v>
      </c>
      <c r="AB20" s="8">
        <f t="shared" ref="AB20:AC20" si="97">AB18/AB19</f>
        <v>0.81472684085510694</v>
      </c>
      <c r="AC20" s="8">
        <f t="shared" si="97"/>
        <v>1.4519002375296914</v>
      </c>
      <c r="AD20" s="8">
        <f t="shared" ref="AD20" si="98">AD18/AD19</f>
        <v>0.99524940617577196</v>
      </c>
      <c r="AE20" s="8">
        <f t="shared" ref="AE20" si="99">AE18/AE19</f>
        <v>0.84204275534441841</v>
      </c>
      <c r="AF20" s="8">
        <f t="shared" ref="AF20:AH20" si="100">AF18/AF19</f>
        <v>0.95844327176781019</v>
      </c>
      <c r="AG20" s="8">
        <f t="shared" si="100"/>
        <v>1.3418230563002675</v>
      </c>
      <c r="AH20" s="8">
        <f t="shared" si="100"/>
        <v>0.96778523489932899</v>
      </c>
      <c r="AI20" s="8">
        <f t="shared" ref="AI20:AL20" si="101">AI18/AI19</f>
        <v>1.0467614630872484</v>
      </c>
      <c r="AJ20" s="8">
        <f t="shared" si="101"/>
        <v>1.0475491275167783</v>
      </c>
      <c r="AK20" s="8">
        <f t="shared" si="101"/>
        <v>1.5212295704697985</v>
      </c>
      <c r="AL20" s="8">
        <f t="shared" si="101"/>
        <v>0.73853756510067126</v>
      </c>
      <c r="AO20" s="8">
        <f t="shared" ref="AO20:AT20" si="102">AO18/AO19</f>
        <v>1.237529691211404</v>
      </c>
      <c r="AP20" s="8">
        <f t="shared" si="102"/>
        <v>1.5302850356294546</v>
      </c>
      <c r="AQ20" s="8">
        <f t="shared" si="102"/>
        <v>2.6603325415676977</v>
      </c>
      <c r="AR20" s="8">
        <f t="shared" si="102"/>
        <v>5.6258907363420381</v>
      </c>
      <c r="AS20" s="8">
        <f t="shared" si="102"/>
        <v>3.8408551068883607</v>
      </c>
      <c r="AT20" s="8">
        <f t="shared" si="102"/>
        <v>2.1650831353919293</v>
      </c>
      <c r="AU20" s="8">
        <f t="shared" ref="AU20:BC20" si="103">AU18/AU19</f>
        <v>3.6342042755344446</v>
      </c>
      <c r="AV20" s="8">
        <f t="shared" si="103"/>
        <v>4.2382550335570466</v>
      </c>
      <c r="AW20" s="8">
        <f t="shared" si="103"/>
        <v>4.3540777261744994</v>
      </c>
      <c r="AX20" s="8">
        <f t="shared" si="103"/>
        <v>5.0220417862013411</v>
      </c>
      <c r="AY20" s="8">
        <f t="shared" si="103"/>
        <v>5.1717463914652342</v>
      </c>
      <c r="AZ20" s="8">
        <f t="shared" si="103"/>
        <v>5.2571771549455466</v>
      </c>
      <c r="BA20" s="8">
        <f t="shared" si="103"/>
        <v>5.3634547206216379</v>
      </c>
      <c r="BB20" s="8">
        <f t="shared" si="103"/>
        <v>5.4718691778370241</v>
      </c>
      <c r="BC20" s="8">
        <f t="shared" si="103"/>
        <v>5.5824633778247472</v>
      </c>
      <c r="BD20" s="8">
        <f t="shared" ref="BD20:BF20" si="104">BD18/BD19</f>
        <v>5.6952810299765355</v>
      </c>
      <c r="BE20" s="8">
        <f t="shared" si="104"/>
        <v>5.8103667190173116</v>
      </c>
      <c r="BF20" s="8">
        <f t="shared" si="104"/>
        <v>5.9277659225233164</v>
      </c>
    </row>
    <row r="22" spans="2:168" x14ac:dyDescent="0.3">
      <c r="B22" s="1" t="s">
        <v>48</v>
      </c>
      <c r="C22" s="10"/>
      <c r="D22" s="10"/>
      <c r="E22" s="10"/>
      <c r="F22" s="10"/>
      <c r="G22" s="10">
        <f>G3/C3-1</f>
        <v>0.14832987356104921</v>
      </c>
      <c r="H22" s="10">
        <f t="shared" ref="H22:V22" si="105">H3/D3-1</f>
        <v>9.2648221343873516E-2</v>
      </c>
      <c r="I22" s="10">
        <f t="shared" si="105"/>
        <v>6.4532019704433452E-2</v>
      </c>
      <c r="J22" s="10">
        <f t="shared" si="105"/>
        <v>5.3848750844024185E-2</v>
      </c>
      <c r="K22" s="10">
        <f t="shared" si="105"/>
        <v>5.8668857847165246E-2</v>
      </c>
      <c r="L22" s="10">
        <f t="shared" si="105"/>
        <v>4.1383301982347076E-2</v>
      </c>
      <c r="M22" s="10">
        <f t="shared" si="105"/>
        <v>4.4308190652475821E-2</v>
      </c>
      <c r="N22" s="10">
        <f t="shared" si="105"/>
        <v>0.13599231138875556</v>
      </c>
      <c r="O22" s="10">
        <f t="shared" si="105"/>
        <v>0.22927662216702882</v>
      </c>
      <c r="P22" s="10">
        <f t="shared" si="105"/>
        <v>0.74683896067806033</v>
      </c>
      <c r="Q22" s="10">
        <f t="shared" si="105"/>
        <v>0.84701451201949696</v>
      </c>
      <c r="R22" s="10">
        <f t="shared" si="105"/>
        <v>1.1656796390298929</v>
      </c>
      <c r="S22" s="10">
        <f t="shared" si="105"/>
        <v>0.65690112387927768</v>
      </c>
      <c r="T22" s="10">
        <f t="shared" si="105"/>
        <v>3.90550429525931E-2</v>
      </c>
      <c r="U22" s="10">
        <f t="shared" si="105"/>
        <v>-2.0692136987944587E-2</v>
      </c>
      <c r="V22" s="10">
        <f t="shared" si="105"/>
        <v>-0.19916661240966216</v>
      </c>
      <c r="W22" s="10">
        <f t="shared" ref="W22" si="106">W3/S3-1</f>
        <v>-0.11599725630668378</v>
      </c>
      <c r="X22" s="10">
        <f t="shared" ref="X22" si="107">X3/T3-1</f>
        <v>-0.12041644338972668</v>
      </c>
      <c r="Y22" s="10">
        <f t="shared" ref="Y22" si="108">Y3/U3-1</f>
        <v>-0.22225624693777557</v>
      </c>
      <c r="Z22" s="10">
        <f t="shared" ref="Z22" si="109">Z3/V3-1</f>
        <v>-0.21943089430894303</v>
      </c>
      <c r="AA22" s="10">
        <f t="shared" ref="AA22" si="110">AA3/W3-1</f>
        <v>-0.15984136563496865</v>
      </c>
      <c r="AB22" s="10">
        <f t="shared" ref="AB22" si="111">AB3/X3-1</f>
        <v>-8.006962576153176E-2</v>
      </c>
      <c r="AC22" s="10">
        <f t="shared" ref="AC22" si="112">AC3/Y3-1</f>
        <v>-1.1339475549255962E-2</v>
      </c>
      <c r="AD22" s="10">
        <f t="shared" ref="AD22" si="113">AD3/Z3-1</f>
        <v>5.3536089990625868E-2</v>
      </c>
      <c r="AE22" s="10">
        <f t="shared" ref="AE22" si="114">AE3/AA3-1</f>
        <v>0.11667521806054393</v>
      </c>
      <c r="AF22" s="10">
        <f t="shared" ref="AF22" si="115">AF3/AB3-1</f>
        <v>5.5818353831598833E-2</v>
      </c>
      <c r="AG22" s="10">
        <f t="shared" ref="AG22" si="116">AG3/AC3-1</f>
        <v>6.7542811628833022E-2</v>
      </c>
      <c r="AH22" s="10">
        <f t="shared" ref="AH22" si="117">AH3/AD3-1</f>
        <v>-1.0874938210578833E-3</v>
      </c>
      <c r="AI22" s="10">
        <f t="shared" ref="AI22" si="118">AI3/AE3-1</f>
        <v>5.0000000000000044E-2</v>
      </c>
      <c r="AJ22" s="10">
        <f t="shared" ref="AJ22" si="119">AJ3/AF3-1</f>
        <v>5.0000000000000044E-2</v>
      </c>
      <c r="AK22" s="10">
        <f t="shared" ref="AK22" si="120">AK3/AG3-1</f>
        <v>5.0000000000000044E-2</v>
      </c>
      <c r="AL22" s="10">
        <f t="shared" ref="AL22" si="121">AL3/AH3-1</f>
        <v>4.0000000000000036E-2</v>
      </c>
      <c r="AO22" s="10"/>
      <c r="AP22" s="10">
        <f>AP3/AO3-1</f>
        <v>8.6294218482156682E-2</v>
      </c>
      <c r="AQ22" s="10">
        <f t="shared" ref="AQ22:BC22" si="122">AQ3/AP3-1</f>
        <v>6.7245274898683816E-2</v>
      </c>
      <c r="AR22" s="10">
        <f t="shared" si="122"/>
        <v>0.76500436857315646</v>
      </c>
      <c r="AS22" s="10">
        <f t="shared" si="122"/>
        <v>4.3580907411991054E-2</v>
      </c>
      <c r="AT22" s="10">
        <f t="shared" si="122"/>
        <v>-0.171914909143983</v>
      </c>
      <c r="AU22" s="10">
        <f t="shared" si="122"/>
        <v>-5.2964374628214017E-2</v>
      </c>
      <c r="AV22" s="10">
        <f t="shared" si="122"/>
        <v>5.9648714667907221E-2</v>
      </c>
      <c r="AW22" s="10">
        <f t="shared" si="122"/>
        <v>4.7781729565962161E-2</v>
      </c>
      <c r="AX22" s="10">
        <f t="shared" si="122"/>
        <v>4.0000000000000036E-2</v>
      </c>
      <c r="AY22" s="10">
        <f t="shared" si="122"/>
        <v>3.0000000000000027E-2</v>
      </c>
      <c r="AZ22" s="10">
        <f t="shared" si="122"/>
        <v>2.0000000000000018E-2</v>
      </c>
      <c r="BA22" s="10">
        <f t="shared" si="122"/>
        <v>2.0000000000000018E-2</v>
      </c>
      <c r="BB22" s="10">
        <f t="shared" si="122"/>
        <v>2.0000000000000018E-2</v>
      </c>
      <c r="BC22" s="10">
        <f t="shared" si="122"/>
        <v>2.0000000000000018E-2</v>
      </c>
      <c r="BD22" s="10">
        <f t="shared" ref="BD22" si="123">BD3/BC3-1</f>
        <v>2.0000000000000018E-2</v>
      </c>
      <c r="BE22" s="10">
        <f t="shared" ref="BE22" si="124">BE3/BD3-1</f>
        <v>2.0000000000000018E-2</v>
      </c>
      <c r="BF22" s="10">
        <f t="shared" ref="BF22" si="125">BF3/BE3-1</f>
        <v>2.0000000000000018E-2</v>
      </c>
    </row>
    <row r="23" spans="2:168" x14ac:dyDescent="0.3">
      <c r="B23" s="1" t="s">
        <v>49</v>
      </c>
      <c r="C23" s="10">
        <f t="shared" ref="C23:F23" si="126">C5/C3</f>
        <v>0.36818267597659932</v>
      </c>
      <c r="D23" s="10">
        <f t="shared" si="126"/>
        <v>0.3633201581027668</v>
      </c>
      <c r="E23" s="10">
        <f t="shared" si="126"/>
        <v>0.3428571428571428</v>
      </c>
      <c r="F23" s="10">
        <f t="shared" si="126"/>
        <v>0.36259284267386893</v>
      </c>
      <c r="G23" s="10">
        <f>G5/G3</f>
        <v>0.37189811010682006</v>
      </c>
      <c r="H23" s="10">
        <f t="shared" ref="H23:V23" si="127">H5/H3</f>
        <v>0.37476486760237304</v>
      </c>
      <c r="I23" s="10">
        <f t="shared" si="127"/>
        <v>0.3802637667746413</v>
      </c>
      <c r="J23" s="10">
        <f t="shared" si="127"/>
        <v>0.37850392439532271</v>
      </c>
      <c r="K23" s="10">
        <f t="shared" si="127"/>
        <v>0.3759701955914313</v>
      </c>
      <c r="L23" s="10">
        <f t="shared" si="127"/>
        <v>0.38265944143393082</v>
      </c>
      <c r="M23" s="10">
        <f t="shared" si="127"/>
        <v>0.374875373878365</v>
      </c>
      <c r="N23" s="10">
        <f t="shared" si="127"/>
        <v>0.3963620981387479</v>
      </c>
      <c r="O23" s="10">
        <f t="shared" si="127"/>
        <v>0.39057961863871699</v>
      </c>
      <c r="P23" s="10">
        <f t="shared" si="127"/>
        <v>0.45545657015590202</v>
      </c>
      <c r="Q23" s="10">
        <f t="shared" si="127"/>
        <v>0.45126851796317397</v>
      </c>
      <c r="R23" s="10">
        <f t="shared" si="127"/>
        <v>0.46539488247932809</v>
      </c>
      <c r="S23" s="10">
        <f t="shared" si="127"/>
        <v>0.43670451947260114</v>
      </c>
      <c r="T23" s="10">
        <f t="shared" si="127"/>
        <v>0.4179744316007043</v>
      </c>
      <c r="U23" s="10">
        <f t="shared" si="127"/>
        <v>0.40494855463008328</v>
      </c>
      <c r="V23" s="10">
        <f t="shared" si="127"/>
        <v>0.40398373983739838</v>
      </c>
      <c r="W23" s="10">
        <f t="shared" ref="W23:AH23" si="128">W5/W3</f>
        <v>0.39891369945684974</v>
      </c>
      <c r="X23" s="10">
        <f t="shared" si="128"/>
        <v>0.38468233246301131</v>
      </c>
      <c r="Y23" s="10">
        <f t="shared" si="128"/>
        <v>0.37829750374045207</v>
      </c>
      <c r="Z23" s="10">
        <f t="shared" si="128"/>
        <v>0.36183730861368602</v>
      </c>
      <c r="AA23" s="10">
        <f t="shared" si="128"/>
        <v>0.38871216008209336</v>
      </c>
      <c r="AB23" s="10">
        <f t="shared" si="128"/>
        <v>0.41778618732261119</v>
      </c>
      <c r="AC23" s="10">
        <f t="shared" si="128"/>
        <v>0.42134607726005574</v>
      </c>
      <c r="AD23" s="10">
        <f t="shared" si="128"/>
        <v>0.43440434997528421</v>
      </c>
      <c r="AE23" s="10">
        <f t="shared" si="128"/>
        <v>0.43071126631133982</v>
      </c>
      <c r="AF23" s="10">
        <f t="shared" si="128"/>
        <v>0.43772401433691754</v>
      </c>
      <c r="AG23" s="10">
        <f t="shared" si="128"/>
        <v>0.43042602402447211</v>
      </c>
      <c r="AH23" s="10">
        <f t="shared" si="128"/>
        <v>0.43359065716547907</v>
      </c>
      <c r="AI23" s="10">
        <f t="shared" ref="AI23:AL23" si="129">AI5/AI3</f>
        <v>0.43</v>
      </c>
      <c r="AJ23" s="10">
        <f t="shared" si="129"/>
        <v>0.43</v>
      </c>
      <c r="AK23" s="10">
        <f t="shared" si="129"/>
        <v>0.43</v>
      </c>
      <c r="AL23" s="10">
        <f t="shared" si="129"/>
        <v>0.43</v>
      </c>
      <c r="AO23" s="10">
        <f t="shared" ref="AO23:BC23" si="130">AO5/AO3</f>
        <v>0.35768271778089461</v>
      </c>
      <c r="AP23" s="10">
        <f t="shared" si="130"/>
        <v>0.37668113187246716</v>
      </c>
      <c r="AQ23" s="10">
        <f t="shared" si="130"/>
        <v>0.38211573358424633</v>
      </c>
      <c r="AR23" s="10">
        <f t="shared" si="130"/>
        <v>0.44725168021628614</v>
      </c>
      <c r="AS23" s="10">
        <f t="shared" si="130"/>
        <v>0.41543822520615925</v>
      </c>
      <c r="AT23" s="10">
        <f t="shared" si="130"/>
        <v>0.38170041199409566</v>
      </c>
      <c r="AU23" s="10">
        <f t="shared" si="130"/>
        <v>0.41614516691869263</v>
      </c>
      <c r="AV23" s="10">
        <f t="shared" si="130"/>
        <v>0.43298425871039981</v>
      </c>
      <c r="AW23" s="10">
        <f t="shared" si="130"/>
        <v>0.4300000000000001</v>
      </c>
      <c r="AX23" s="10">
        <f t="shared" si="130"/>
        <v>0.44</v>
      </c>
      <c r="AY23" s="10">
        <f t="shared" si="130"/>
        <v>0.44</v>
      </c>
      <c r="AZ23" s="10">
        <f t="shared" si="130"/>
        <v>0.43999999999999995</v>
      </c>
      <c r="BA23" s="10">
        <f t="shared" si="130"/>
        <v>0.44</v>
      </c>
      <c r="BB23" s="10">
        <f t="shared" si="130"/>
        <v>0.43999999999999995</v>
      </c>
      <c r="BC23" s="10">
        <f t="shared" si="130"/>
        <v>0.44</v>
      </c>
      <c r="BD23" s="10">
        <f t="shared" ref="BD23:BF23" si="131">BD5/BD3</f>
        <v>0.44</v>
      </c>
      <c r="BE23" s="10">
        <f t="shared" si="131"/>
        <v>0.44</v>
      </c>
      <c r="BF23" s="10">
        <f t="shared" si="131"/>
        <v>0.44</v>
      </c>
    </row>
    <row r="24" spans="2:168" x14ac:dyDescent="0.3">
      <c r="B24" t="s">
        <v>50</v>
      </c>
      <c r="C24" s="10">
        <f t="shared" ref="C24:F24" si="132">C13/C3</f>
        <v>5.8879033779958408E-2</v>
      </c>
      <c r="D24" s="10">
        <f t="shared" si="132"/>
        <v>9.3280632411067196E-2</v>
      </c>
      <c r="E24" s="10">
        <f t="shared" si="132"/>
        <v>0.12339901477832507</v>
      </c>
      <c r="F24" s="10">
        <f t="shared" si="132"/>
        <v>6.5833896016205221E-2</v>
      </c>
      <c r="G24" s="10">
        <f>G13/G3</f>
        <v>5.32456861133936E-2</v>
      </c>
      <c r="H24" s="10">
        <f t="shared" ref="H24:V24" si="133">H13/H3</f>
        <v>9.4197655910866721E-2</v>
      </c>
      <c r="I24" s="10">
        <f t="shared" si="133"/>
        <v>0.1427579824155483</v>
      </c>
      <c r="J24" s="10">
        <f t="shared" si="133"/>
        <v>6.7755886592984121E-2</v>
      </c>
      <c r="K24" s="10">
        <f t="shared" si="133"/>
        <v>7.3579633654144772E-2</v>
      </c>
      <c r="L24" s="10">
        <f t="shared" si="133"/>
        <v>9.4622759483118032E-2</v>
      </c>
      <c r="M24" s="10">
        <f t="shared" si="133"/>
        <v>0.14268306192533517</v>
      </c>
      <c r="N24" s="10">
        <f t="shared" si="133"/>
        <v>4.5121263395375151E-2</v>
      </c>
      <c r="O24" s="10">
        <f t="shared" si="133"/>
        <v>0.10556888496022225</v>
      </c>
      <c r="P24" s="10">
        <f t="shared" si="133"/>
        <v>0.25580655424753423</v>
      </c>
      <c r="Q24" s="10">
        <f t="shared" si="133"/>
        <v>0.26875787200863671</v>
      </c>
      <c r="R24" s="10">
        <f t="shared" si="133"/>
        <v>0.19213490461618599</v>
      </c>
      <c r="S24" s="10">
        <f t="shared" si="133"/>
        <v>0.15486624495084209</v>
      </c>
      <c r="T24" s="10">
        <f t="shared" si="133"/>
        <v>0.13733445609737424</v>
      </c>
      <c r="U24" s="10">
        <f t="shared" si="133"/>
        <v>0.16095051445369915</v>
      </c>
      <c r="V24" s="10">
        <f t="shared" si="133"/>
        <v>0.10463414634146345</v>
      </c>
      <c r="W24" s="10">
        <f t="shared" ref="W24:AH24" si="134">W13/W3</f>
        <v>9.9577549788774991E-2</v>
      </c>
      <c r="X24" s="10">
        <f t="shared" si="134"/>
        <v>0.11096605744125321</v>
      </c>
      <c r="Y24" s="10">
        <f t="shared" si="134"/>
        <v>0.13906606819434611</v>
      </c>
      <c r="Z24" s="10">
        <f t="shared" si="134"/>
        <v>4.0516612852827809E-2</v>
      </c>
      <c r="AA24" s="10">
        <f t="shared" si="134"/>
        <v>8.0451513596716248E-2</v>
      </c>
      <c r="AB24" s="10">
        <f t="shared" si="134"/>
        <v>0.148155156102176</v>
      </c>
      <c r="AC24" s="10">
        <f t="shared" si="134"/>
        <v>0.17674233373158107</v>
      </c>
      <c r="AD24" s="10">
        <f t="shared" si="134"/>
        <v>0.128719723183391</v>
      </c>
      <c r="AE24" s="10">
        <f t="shared" si="134"/>
        <v>0.14105862892850585</v>
      </c>
      <c r="AF24" s="10">
        <f t="shared" si="134"/>
        <v>0.14408602150537636</v>
      </c>
      <c r="AG24" s="10">
        <f t="shared" si="134"/>
        <v>0.17503543982690437</v>
      </c>
      <c r="AH24" s="10">
        <f t="shared" si="134"/>
        <v>0.1049089469517023</v>
      </c>
      <c r="AI24" s="10">
        <f t="shared" ref="AI24:AL24" si="135">AI13/AI3</f>
        <v>0.15196663778542108</v>
      </c>
      <c r="AJ24" s="10">
        <f t="shared" si="135"/>
        <v>0.14935654548557772</v>
      </c>
      <c r="AK24" s="10">
        <f t="shared" si="135"/>
        <v>0.18654117948007376</v>
      </c>
      <c r="AL24" s="10">
        <f t="shared" si="135"/>
        <v>0.11591833394238385</v>
      </c>
      <c r="AO24" s="10">
        <f t="shared" ref="AO24:BC24" si="136">AO13/AO3</f>
        <v>8.9371980676328663E-2</v>
      </c>
      <c r="AP24" s="10">
        <f t="shared" si="136"/>
        <v>9.4394433884445766E-2</v>
      </c>
      <c r="AQ24" s="10">
        <f t="shared" si="136"/>
        <v>9.2277706835136891E-2</v>
      </c>
      <c r="AR24" s="10">
        <f t="shared" si="136"/>
        <v>0.21864706890314706</v>
      </c>
      <c r="AS24" s="10">
        <f t="shared" si="136"/>
        <v>0.14162957016711669</v>
      </c>
      <c r="AT24" s="10">
        <f t="shared" si="136"/>
        <v>0.10101566458833657</v>
      </c>
      <c r="AU24" s="10">
        <f t="shared" si="136"/>
        <v>0.13658252878911256</v>
      </c>
      <c r="AV24" s="10">
        <f t="shared" si="136"/>
        <v>0.14377922676677862</v>
      </c>
      <c r="AW24" s="10">
        <f t="shared" si="136"/>
        <v>0.15358393778073365</v>
      </c>
      <c r="AX24" s="10">
        <f t="shared" si="136"/>
        <v>0.17221086274102682</v>
      </c>
      <c r="AY24" s="10">
        <f t="shared" si="136"/>
        <v>0.17228988712755802</v>
      </c>
      <c r="AZ24" s="10">
        <f t="shared" si="136"/>
        <v>0.17166251534573435</v>
      </c>
      <c r="BA24" s="10">
        <f t="shared" si="136"/>
        <v>0.17170125658790109</v>
      </c>
      <c r="BB24" s="10">
        <f t="shared" si="136"/>
        <v>0.17173961801396809</v>
      </c>
      <c r="BC24" s="10">
        <f t="shared" si="136"/>
        <v>0.17177760334762268</v>
      </c>
      <c r="BD24" s="10">
        <f t="shared" ref="BD24:BF24" si="137">BD13/BD3</f>
        <v>0.1718152162760454</v>
      </c>
      <c r="BE24" s="10">
        <f t="shared" si="137"/>
        <v>0.17185246045026786</v>
      </c>
      <c r="BF24" s="10">
        <f t="shared" si="137"/>
        <v>0.1718893394855274</v>
      </c>
      <c r="BH24" t="s">
        <v>55</v>
      </c>
      <c r="BI24" s="10">
        <v>-0.01</v>
      </c>
    </row>
    <row r="25" spans="2:168" x14ac:dyDescent="0.3">
      <c r="B25" t="s">
        <v>51</v>
      </c>
      <c r="C25" s="10">
        <f t="shared" ref="C25:F25" si="138">C6/C3</f>
        <v>0.19324400830345351</v>
      </c>
      <c r="D25" s="10">
        <f t="shared" si="138"/>
        <v>0.16980237154150199</v>
      </c>
      <c r="E25" s="10">
        <f t="shared" si="138"/>
        <v>0.14310344827586208</v>
      </c>
      <c r="F25" s="10">
        <f t="shared" si="138"/>
        <v>0.1850101282916948</v>
      </c>
      <c r="G25" s="10">
        <f>G6/G3</f>
        <v>0.18833196384552175</v>
      </c>
      <c r="H25" s="10">
        <f t="shared" ref="H25:V25" si="139">H6/H3</f>
        <v>0.17624077557517001</v>
      </c>
      <c r="I25" s="10">
        <f t="shared" si="139"/>
        <v>0.15305414160111061</v>
      </c>
      <c r="J25" s="10">
        <f t="shared" si="139"/>
        <v>0.19157456351113247</v>
      </c>
      <c r="K25" s="10">
        <f t="shared" si="139"/>
        <v>0.19093449239366656</v>
      </c>
      <c r="L25" s="10">
        <f t="shared" si="139"/>
        <v>0.18646658329859661</v>
      </c>
      <c r="M25" s="10">
        <f t="shared" si="139"/>
        <v>0.14955134596211364</v>
      </c>
      <c r="N25" s="10">
        <f t="shared" si="139"/>
        <v>0.19909757473209247</v>
      </c>
      <c r="O25" s="10">
        <f t="shared" si="139"/>
        <v>0.16820305594140672</v>
      </c>
      <c r="P25" s="10">
        <f t="shared" si="139"/>
        <v>0.12631244034362074</v>
      </c>
      <c r="Q25" s="10">
        <f t="shared" si="139"/>
        <v>0.12265339171114976</v>
      </c>
      <c r="R25" s="10">
        <f t="shared" si="139"/>
        <v>0.17826681424571911</v>
      </c>
      <c r="S25" s="10">
        <f t="shared" si="139"/>
        <v>0.19228717323374744</v>
      </c>
      <c r="T25" s="10">
        <f t="shared" si="139"/>
        <v>0.19643267243359108</v>
      </c>
      <c r="U25" s="10">
        <f t="shared" si="139"/>
        <v>0.16529887310142086</v>
      </c>
      <c r="V25" s="10">
        <f t="shared" si="139"/>
        <v>0.20081300813008129</v>
      </c>
      <c r="W25" s="10">
        <f t="shared" ref="W25:AH25" si="140">W6/W3</f>
        <v>0.19777567031640658</v>
      </c>
      <c r="X25" s="10">
        <f t="shared" si="140"/>
        <v>0.17589208006962576</v>
      </c>
      <c r="Y25" s="10">
        <f t="shared" si="140"/>
        <v>0.1548940861485156</v>
      </c>
      <c r="Z25" s="10">
        <f t="shared" si="140"/>
        <v>0.18862618477241952</v>
      </c>
      <c r="AA25" s="10">
        <f t="shared" si="140"/>
        <v>0.18388917393535145</v>
      </c>
      <c r="AB25" s="10">
        <f t="shared" si="140"/>
        <v>0.16688741721854305</v>
      </c>
      <c r="AC25" s="10">
        <f t="shared" si="140"/>
        <v>0.15069693349263241</v>
      </c>
      <c r="AD25" s="10">
        <f t="shared" si="140"/>
        <v>0.18348986653484922</v>
      </c>
      <c r="AE25" s="10">
        <f t="shared" si="140"/>
        <v>0.18094100349200515</v>
      </c>
      <c r="AF25" s="10">
        <f t="shared" si="140"/>
        <v>0.18091397849462365</v>
      </c>
      <c r="AG25" s="10">
        <f t="shared" si="140"/>
        <v>0.16190405133179139</v>
      </c>
      <c r="AH25" s="10">
        <f t="shared" si="140"/>
        <v>0.19655581947743467</v>
      </c>
      <c r="AI25" s="10">
        <f t="shared" ref="AI25:AL25" si="141">AI6/AI3</f>
        <v>0.17</v>
      </c>
      <c r="AJ25" s="10">
        <f t="shared" si="141"/>
        <v>0.17</v>
      </c>
      <c r="AK25" s="10">
        <f t="shared" si="141"/>
        <v>0.15</v>
      </c>
      <c r="AL25" s="10">
        <f t="shared" si="141"/>
        <v>0.19</v>
      </c>
      <c r="AO25" s="10">
        <f t="shared" ref="AO25:BC25" si="142">AO6/AO3</f>
        <v>0.1697054698457223</v>
      </c>
      <c r="AP25" s="10">
        <f t="shared" si="142"/>
        <v>0.17512462790947886</v>
      </c>
      <c r="AQ25" s="10">
        <f t="shared" si="142"/>
        <v>0.17924591706431883</v>
      </c>
      <c r="AR25" s="10">
        <f t="shared" si="142"/>
        <v>0.14665955866953526</v>
      </c>
      <c r="AS25" s="10">
        <f t="shared" si="142"/>
        <v>0.187148799532949</v>
      </c>
      <c r="AT25" s="10">
        <f t="shared" si="142"/>
        <v>0.17830311308907443</v>
      </c>
      <c r="AU25" s="10">
        <f t="shared" si="142"/>
        <v>0.16991973944399208</v>
      </c>
      <c r="AV25" s="10">
        <f t="shared" si="142"/>
        <v>0.17879646095413732</v>
      </c>
      <c r="AW25" s="10">
        <f t="shared" si="142"/>
        <v>0.16850604112149062</v>
      </c>
      <c r="AX25" s="10">
        <f t="shared" si="142"/>
        <v>0.16</v>
      </c>
      <c r="AY25" s="10">
        <f t="shared" si="142"/>
        <v>0.16</v>
      </c>
      <c r="AZ25" s="10">
        <f t="shared" si="142"/>
        <v>0.16</v>
      </c>
      <c r="BA25" s="10">
        <f t="shared" si="142"/>
        <v>0.16</v>
      </c>
      <c r="BB25" s="10">
        <f t="shared" si="142"/>
        <v>0.16</v>
      </c>
      <c r="BC25" s="10">
        <f t="shared" si="142"/>
        <v>0.16</v>
      </c>
      <c r="BD25" s="10">
        <f t="shared" ref="BD25:BF25" si="143">BD6/BD3</f>
        <v>0.16</v>
      </c>
      <c r="BE25" s="10">
        <f t="shared" si="143"/>
        <v>0.16</v>
      </c>
      <c r="BF25" s="10">
        <f t="shared" si="143"/>
        <v>0.16</v>
      </c>
      <c r="BH25" t="s">
        <v>56</v>
      </c>
      <c r="BI25" s="10">
        <v>0.08</v>
      </c>
    </row>
    <row r="26" spans="2:168" x14ac:dyDescent="0.3">
      <c r="B26" t="s">
        <v>52</v>
      </c>
      <c r="C26" s="10"/>
      <c r="D26" s="10"/>
      <c r="E26" s="10"/>
      <c r="F26" s="10"/>
      <c r="G26" s="10">
        <f t="shared" ref="G26:G27" si="144">G7/C7-1</f>
        <v>0.11111111111111116</v>
      </c>
      <c r="H26" s="10">
        <f t="shared" ref="H26:H27" si="145">H7/D7-1</f>
        <v>7.9234972677595605E-2</v>
      </c>
      <c r="I26" s="10">
        <f t="shared" ref="I26:I27" si="146">I7/E7-1</f>
        <v>0.18023255813953498</v>
      </c>
      <c r="J26" s="10">
        <f t="shared" ref="J26:J27" si="147">J7/F7-1</f>
        <v>0.11968085106382986</v>
      </c>
      <c r="K26" s="10">
        <f t="shared" ref="K26:K27" si="148">K7/G7-1</f>
        <v>8.2051282051282204E-2</v>
      </c>
      <c r="L26" s="10">
        <f t="shared" ref="L26:L27" si="149">L7/H7-1</f>
        <v>6.3291139240506222E-2</v>
      </c>
      <c r="M26" s="10">
        <f t="shared" ref="M26:M27" si="150">M7/I7-1</f>
        <v>6.6502463054187055E-2</v>
      </c>
      <c r="N26" s="10">
        <f t="shared" ref="N26:N27" si="151">N7/J7-1</f>
        <v>0.19002375296912111</v>
      </c>
      <c r="O26" s="10">
        <f t="shared" ref="O26:O27" si="152">O7/K7-1</f>
        <v>0.17772511848341233</v>
      </c>
      <c r="P26" s="10">
        <f t="shared" ref="P26:P27" si="153">P7/L7-1</f>
        <v>0.27142857142857135</v>
      </c>
      <c r="Q26" s="10">
        <f t="shared" ref="Q26:Q27" si="154">Q7/M7-1</f>
        <v>0.24480369515011557</v>
      </c>
      <c r="R26" s="10">
        <f t="shared" ref="R26:R27" si="155">R7/N7-1</f>
        <v>0.3772455089820359</v>
      </c>
      <c r="S26" s="10">
        <f t="shared" ref="S26:S27" si="156">S7/O7-1</f>
        <v>0.39235412474849096</v>
      </c>
      <c r="T26" s="10">
        <f t="shared" ref="T26:T27" si="157">T7/P7-1</f>
        <v>0.28651685393258441</v>
      </c>
      <c r="U26" s="10">
        <f t="shared" ref="U26:U27" si="158">U7/Q7-1</f>
        <v>0.40074211502782942</v>
      </c>
      <c r="V26" s="10">
        <f t="shared" ref="V26:V27" si="159">V7/R7-1</f>
        <v>0.13623188405797104</v>
      </c>
      <c r="W26" s="10">
        <f t="shared" ref="W26:W27" si="160">W7/S7-1</f>
        <v>9.1040462427745661E-2</v>
      </c>
      <c r="X26" s="10">
        <f t="shared" ref="X26:X27" si="161">X7/T7-1</f>
        <v>4.366812227074135E-3</v>
      </c>
      <c r="Y26" s="10">
        <f t="shared" ref="Y26:Y27" si="162">Y7/U7-1</f>
        <v>-0.13112582781456961</v>
      </c>
      <c r="Z26" s="10">
        <f t="shared" ref="Z26:Z27" si="163">Z7/V7-1</f>
        <v>-9.9489795918367485E-2</v>
      </c>
      <c r="AA26" s="10">
        <f t="shared" ref="AA26:AA27" si="164">AA7/W7-1</f>
        <v>-6.4900662251655694E-2</v>
      </c>
      <c r="AB26" s="10">
        <f t="shared" ref="AB26:AB27" si="165">AB7/X7-1</f>
        <v>-5.7971014492754769E-3</v>
      </c>
      <c r="AC26" s="10">
        <f t="shared" ref="AC26:AC27" si="166">AC7/Y7-1</f>
        <v>0.10823170731707332</v>
      </c>
      <c r="AD26" s="10">
        <f t="shared" ref="AD26:AD27" si="167">AD7/Z7-1</f>
        <v>6.7988668555240883E-2</v>
      </c>
      <c r="AE26" s="10">
        <f t="shared" ref="AE26:AE27" si="168">AE7/AA7-1</f>
        <v>6.6572237960339953E-2</v>
      </c>
      <c r="AF26" s="10">
        <f t="shared" ref="AF26:AF27" si="169">AF7/AB7-1</f>
        <v>0.11078717201166199</v>
      </c>
      <c r="AG26" s="10">
        <f t="shared" ref="AG26:AG27" si="170">AG7/AC7-1</f>
        <v>7.2902338376891196E-2</v>
      </c>
      <c r="AH26" s="10">
        <f t="shared" ref="AH26:AH27" si="171">AH7/AD7-1</f>
        <v>5.4376657824933616E-2</v>
      </c>
      <c r="AI26" s="10">
        <f t="shared" ref="AI26:AI27" si="172">AI7/AE7-1</f>
        <v>5.0000000000000044E-2</v>
      </c>
      <c r="AJ26" s="10">
        <f t="shared" ref="AJ26:AJ27" si="173">AJ7/AF7-1</f>
        <v>5.0000000000000044E-2</v>
      </c>
      <c r="AK26" s="10">
        <f t="shared" ref="AK26:AK27" si="174">AK7/AG7-1</f>
        <v>5.0000000000000044E-2</v>
      </c>
      <c r="AL26" s="10">
        <f t="shared" ref="AL26:AL27" si="175">AL7/AH7-1</f>
        <v>5.0000000000000044E-2</v>
      </c>
      <c r="AO26" s="10"/>
      <c r="AP26" s="10">
        <f t="shared" ref="AP26:BC26" si="176">AP7/AO7-1</f>
        <v>0.12178148921363952</v>
      </c>
      <c r="AQ26" s="10">
        <f t="shared" si="176"/>
        <v>0.1017369727047146</v>
      </c>
      <c r="AR26" s="10">
        <f t="shared" si="176"/>
        <v>0.27252252252252251</v>
      </c>
      <c r="AS26" s="10">
        <f t="shared" si="176"/>
        <v>0.29115044247787614</v>
      </c>
      <c r="AT26" s="10">
        <f t="shared" si="176"/>
        <v>-3.8039753255654674E-2</v>
      </c>
      <c r="AU26" s="10">
        <f t="shared" si="176"/>
        <v>2.3512646954043426E-2</v>
      </c>
      <c r="AV26" s="10">
        <f t="shared" si="176"/>
        <v>7.5530804037591492E-2</v>
      </c>
      <c r="AW26" s="10">
        <f t="shared" si="176"/>
        <v>5.0000000000000044E-2</v>
      </c>
      <c r="AX26" s="10">
        <f t="shared" si="176"/>
        <v>4.0000000000000036E-2</v>
      </c>
      <c r="AY26" s="10">
        <f t="shared" si="176"/>
        <v>3.0000000000000027E-2</v>
      </c>
      <c r="AZ26" s="10">
        <f t="shared" si="176"/>
        <v>3.0000000000000027E-2</v>
      </c>
      <c r="BA26" s="10">
        <f t="shared" si="176"/>
        <v>2.0000000000000018E-2</v>
      </c>
      <c r="BB26" s="10">
        <f t="shared" si="176"/>
        <v>2.0000000000000018E-2</v>
      </c>
      <c r="BC26" s="10">
        <f t="shared" si="176"/>
        <v>2.0000000000000018E-2</v>
      </c>
      <c r="BD26" s="10">
        <f t="shared" ref="BD26:BD27" si="177">BD7/BC7-1</f>
        <v>2.0000000000000018E-2</v>
      </c>
      <c r="BE26" s="10">
        <f t="shared" ref="BE26:BE27" si="178">BE7/BD7-1</f>
        <v>2.0000000000000018E-2</v>
      </c>
      <c r="BF26" s="10">
        <f t="shared" ref="BF26:BF27" si="179">BF7/BE7-1</f>
        <v>2.0000000000000018E-2</v>
      </c>
      <c r="BH26" t="s">
        <v>57</v>
      </c>
      <c r="BI26" s="6">
        <f>NPV(BI25,AV18:FL18)</f>
        <v>9634.0663421519712</v>
      </c>
    </row>
    <row r="27" spans="2:168" x14ac:dyDescent="0.3">
      <c r="B27" t="s">
        <v>53</v>
      </c>
      <c r="C27" s="10"/>
      <c r="D27" s="10"/>
      <c r="E27" s="10"/>
      <c r="F27" s="10"/>
      <c r="G27" s="10">
        <f t="shared" si="144"/>
        <v>3.937007874015741E-3</v>
      </c>
      <c r="H27" s="10">
        <f t="shared" si="145"/>
        <v>-3.9525691699605625E-3</v>
      </c>
      <c r="I27" s="10">
        <f t="shared" si="146"/>
        <v>9.8654708520179435E-2</v>
      </c>
      <c r="J27" s="10">
        <f t="shared" si="147"/>
        <v>8.5470085470087387E-3</v>
      </c>
      <c r="K27" s="10">
        <f t="shared" si="148"/>
        <v>-0.12941176470588234</v>
      </c>
      <c r="L27" s="10">
        <f t="shared" si="149"/>
        <v>-4.7619047619047561E-2</v>
      </c>
      <c r="M27" s="10">
        <f t="shared" si="150"/>
        <v>-8.9795918367346905E-2</v>
      </c>
      <c r="N27" s="10">
        <f t="shared" si="151"/>
        <v>8.0508474576271194E-2</v>
      </c>
      <c r="O27" s="10">
        <f t="shared" si="152"/>
        <v>0.31081081081081097</v>
      </c>
      <c r="P27" s="10">
        <f t="shared" si="153"/>
        <v>0.3208333333333333</v>
      </c>
      <c r="Q27" s="10">
        <f t="shared" si="154"/>
        <v>0.68609865470852016</v>
      </c>
      <c r="R27" s="10">
        <f t="shared" si="155"/>
        <v>1.6745098039215689</v>
      </c>
      <c r="S27" s="10">
        <f t="shared" si="156"/>
        <v>0.39175257731958757</v>
      </c>
      <c r="T27" s="10">
        <f t="shared" si="157"/>
        <v>5.0473186119873725E-2</v>
      </c>
      <c r="U27" s="10">
        <f t="shared" si="158"/>
        <v>2.3936170212765839E-2</v>
      </c>
      <c r="V27" s="10">
        <f t="shared" si="159"/>
        <v>-0.46627565982404695</v>
      </c>
      <c r="W27" s="10">
        <f t="shared" si="160"/>
        <v>-0.11358024691358026</v>
      </c>
      <c r="X27" s="10">
        <f t="shared" si="161"/>
        <v>-0.20120120120120111</v>
      </c>
      <c r="Y27" s="10">
        <f t="shared" si="162"/>
        <v>-0.22597402597402594</v>
      </c>
      <c r="Z27" s="10">
        <f t="shared" si="163"/>
        <v>-0.10989010989010994</v>
      </c>
      <c r="AA27" s="10">
        <f t="shared" si="164"/>
        <v>0.15041782729805009</v>
      </c>
      <c r="AB27" s="10">
        <f t="shared" si="165"/>
        <v>0.33458646616541343</v>
      </c>
      <c r="AC27" s="10">
        <f t="shared" si="166"/>
        <v>0.33221476510067127</v>
      </c>
      <c r="AD27" s="10">
        <f t="shared" si="167"/>
        <v>0.18827160493827155</v>
      </c>
      <c r="AE27" s="10">
        <f t="shared" si="168"/>
        <v>-9.2009685230024174E-2</v>
      </c>
      <c r="AF27" s="10">
        <f t="shared" si="169"/>
        <v>0.24507042253521139</v>
      </c>
      <c r="AG27" s="10">
        <f t="shared" si="170"/>
        <v>6.0453400503778232E-2</v>
      </c>
      <c r="AH27" s="10">
        <f t="shared" si="171"/>
        <v>4.6753246753246769E-2</v>
      </c>
      <c r="AI27" s="10">
        <f t="shared" si="172"/>
        <v>5.0000000000000044E-2</v>
      </c>
      <c r="AJ27" s="10">
        <f t="shared" si="173"/>
        <v>1.0000000000000009E-2</v>
      </c>
      <c r="AK27" s="10">
        <f t="shared" si="174"/>
        <v>6.0000000000000053E-2</v>
      </c>
      <c r="AL27" s="10">
        <f t="shared" si="175"/>
        <v>4.0000000000000036E-2</v>
      </c>
      <c r="AO27" s="10"/>
      <c r="AP27" s="10">
        <f t="shared" ref="AP27:BC27" si="180">AP8/AO8-1</f>
        <v>2.4896265560166109E-2</v>
      </c>
      <c r="AQ27" s="10">
        <f t="shared" si="180"/>
        <v>-4.8582995951417129E-2</v>
      </c>
      <c r="AR27" s="10">
        <f t="shared" si="180"/>
        <v>0.77234042553191506</v>
      </c>
      <c r="AS27" s="10">
        <f t="shared" si="180"/>
        <v>-0.10744297719087659</v>
      </c>
      <c r="AT27" s="10">
        <f t="shared" si="180"/>
        <v>-0.16139878950907871</v>
      </c>
      <c r="AU27" s="10">
        <f t="shared" si="180"/>
        <v>0.24298315958299921</v>
      </c>
      <c r="AV27" s="10">
        <f t="shared" si="180"/>
        <v>5.8709677419354955E-2</v>
      </c>
      <c r="AW27" s="10">
        <f t="shared" si="180"/>
        <v>3.9335770871419706E-2</v>
      </c>
      <c r="AX27" s="10">
        <f t="shared" si="180"/>
        <v>4.0000000000000036E-2</v>
      </c>
      <c r="AY27" s="10">
        <f t="shared" si="180"/>
        <v>3.0000000000000027E-2</v>
      </c>
      <c r="AZ27" s="10">
        <f t="shared" si="180"/>
        <v>2.0000000000000018E-2</v>
      </c>
      <c r="BA27" s="10">
        <f t="shared" si="180"/>
        <v>2.0000000000000018E-2</v>
      </c>
      <c r="BB27" s="10">
        <f t="shared" si="180"/>
        <v>2.0000000000000018E-2</v>
      </c>
      <c r="BC27" s="10">
        <f t="shared" si="180"/>
        <v>2.0000000000000018E-2</v>
      </c>
      <c r="BD27" s="10">
        <f t="shared" si="177"/>
        <v>2.0000000000000018E-2</v>
      </c>
      <c r="BE27" s="10">
        <f t="shared" si="178"/>
        <v>2.0000000000000018E-2</v>
      </c>
      <c r="BF27" s="10">
        <f t="shared" si="179"/>
        <v>2.0000000000000018E-2</v>
      </c>
      <c r="BH27" t="s">
        <v>58</v>
      </c>
      <c r="BI27" s="6">
        <f>Main!D8</f>
        <v>1503.2</v>
      </c>
    </row>
    <row r="28" spans="2:168" x14ac:dyDescent="0.3">
      <c r="B28" t="s">
        <v>43</v>
      </c>
      <c r="C28" s="10">
        <f t="shared" ref="C28:F28" si="181">C17/C16</f>
        <v>-0.17197452229299384</v>
      </c>
      <c r="D28" s="10">
        <f t="shared" si="181"/>
        <v>6.7768595041322308E-2</v>
      </c>
      <c r="E28" s="10">
        <f t="shared" si="181"/>
        <v>0.19841269841269848</v>
      </c>
      <c r="F28" s="10">
        <f t="shared" si="181"/>
        <v>0.12690355329949249</v>
      </c>
      <c r="G28" s="10">
        <f>G17/G16</f>
        <v>-0.15662650602409639</v>
      </c>
      <c r="H28" s="10">
        <f t="shared" ref="H28:V28" si="182">H17/H16</f>
        <v>8.8068181818181809E-2</v>
      </c>
      <c r="I28" s="10">
        <f t="shared" si="182"/>
        <v>7.6104746317512309E-2</v>
      </c>
      <c r="J28" s="10">
        <f t="shared" si="182"/>
        <v>7.2527472527472547E-2</v>
      </c>
      <c r="K28" s="10">
        <f t="shared" si="182"/>
        <v>0.12524084778420022</v>
      </c>
      <c r="L28" s="10">
        <f t="shared" si="182"/>
        <v>-3.6931818181818149E-2</v>
      </c>
      <c r="M28" s="10">
        <f t="shared" si="182"/>
        <v>0.10984848484848481</v>
      </c>
      <c r="N28" s="10">
        <f t="shared" si="182"/>
        <v>-2.0542857142857129</v>
      </c>
      <c r="O28" s="10">
        <f t="shared" si="182"/>
        <v>0.16241299303944318</v>
      </c>
      <c r="P28" s="10">
        <f t="shared" si="182"/>
        <v>0.17419554455445541</v>
      </c>
      <c r="Q28" s="10">
        <f t="shared" si="182"/>
        <v>0.1589360298966806</v>
      </c>
      <c r="R28" s="10">
        <f t="shared" si="182"/>
        <v>0.20500176118351526</v>
      </c>
      <c r="S28" s="10">
        <f t="shared" si="182"/>
        <v>0.11798017932987265</v>
      </c>
      <c r="T28" s="10">
        <f t="shared" si="182"/>
        <v>0.19375361480624642</v>
      </c>
      <c r="U28" s="10">
        <f t="shared" si="182"/>
        <v>0.19005397070161914</v>
      </c>
      <c r="V28" s="10">
        <f t="shared" si="182"/>
        <v>0.1784358390280941</v>
      </c>
      <c r="W28" s="10">
        <f t="shared" ref="W28:AH28" si="183">W17/W16</f>
        <v>0.17714285714285696</v>
      </c>
      <c r="X28" s="10">
        <f t="shared" si="183"/>
        <v>0.2215909090909092</v>
      </c>
      <c r="Y28" s="10">
        <f t="shared" si="183"/>
        <v>0.23371647509578528</v>
      </c>
      <c r="Z28" s="10">
        <f t="shared" si="183"/>
        <v>0.21212121212121221</v>
      </c>
      <c r="AA28" s="10">
        <f t="shared" si="183"/>
        <v>0.1662234042553192</v>
      </c>
      <c r="AB28" s="10">
        <f t="shared" si="183"/>
        <v>0.18089552238805967</v>
      </c>
      <c r="AC28" s="10">
        <f t="shared" si="183"/>
        <v>-4.0868454661558105E-2</v>
      </c>
      <c r="AD28" s="10">
        <f t="shared" si="183"/>
        <v>-0.16550764951321281</v>
      </c>
      <c r="AE28" s="10">
        <f t="shared" si="183"/>
        <v>0.15292712066905612</v>
      </c>
      <c r="AF28" s="10">
        <f t="shared" si="183"/>
        <v>0.17396247868106879</v>
      </c>
      <c r="AG28" s="10">
        <f t="shared" si="183"/>
        <v>0.18385650224215255</v>
      </c>
      <c r="AH28" s="10">
        <f t="shared" si="183"/>
        <v>-0.21893491124260353</v>
      </c>
      <c r="AI28" s="10">
        <f t="shared" ref="AI28:AL28" si="184">AI17/AI16</f>
        <v>0.17</v>
      </c>
      <c r="AJ28" s="10">
        <f t="shared" si="184"/>
        <v>0.17</v>
      </c>
      <c r="AK28" s="10">
        <f t="shared" si="184"/>
        <v>0.17</v>
      </c>
      <c r="AL28" s="10">
        <f t="shared" si="184"/>
        <v>0.17</v>
      </c>
      <c r="AO28" s="10">
        <f t="shared" ref="AO28:BC28" si="185">AO17/AO16</f>
        <v>0.10211115898319671</v>
      </c>
      <c r="AP28" s="10">
        <f t="shared" si="185"/>
        <v>5.0129008477699938E-2</v>
      </c>
      <c r="AQ28" s="10">
        <f t="shared" si="185"/>
        <v>-0.38871667699937962</v>
      </c>
      <c r="AR28" s="10">
        <f t="shared" si="185"/>
        <v>0.1748824246646927</v>
      </c>
      <c r="AS28" s="10">
        <f t="shared" si="185"/>
        <v>0.16874437732939215</v>
      </c>
      <c r="AT28" s="10">
        <f t="shared" si="185"/>
        <v>0.21354616048317474</v>
      </c>
      <c r="AU28" s="10">
        <f t="shared" si="185"/>
        <v>1.5127132281943978E-2</v>
      </c>
      <c r="AV28" s="10">
        <f t="shared" si="185"/>
        <v>0.10666289432734477</v>
      </c>
      <c r="AW28" s="10">
        <f t="shared" si="185"/>
        <v>0.16999999999999993</v>
      </c>
      <c r="AX28" s="10">
        <f t="shared" si="185"/>
        <v>0.18</v>
      </c>
      <c r="AY28" s="10">
        <f t="shared" si="185"/>
        <v>0.18</v>
      </c>
      <c r="AZ28" s="10">
        <f t="shared" si="185"/>
        <v>0.18</v>
      </c>
      <c r="BA28" s="10">
        <f t="shared" si="185"/>
        <v>0.18</v>
      </c>
      <c r="BB28" s="10">
        <f t="shared" si="185"/>
        <v>0.18</v>
      </c>
      <c r="BC28" s="10">
        <f t="shared" si="185"/>
        <v>0.18</v>
      </c>
      <c r="BD28" s="10">
        <f t="shared" ref="BD28:BF28" si="186">BD17/BD16</f>
        <v>0.18</v>
      </c>
      <c r="BE28" s="10">
        <f t="shared" si="186"/>
        <v>0.18</v>
      </c>
      <c r="BF28" s="10">
        <f t="shared" si="186"/>
        <v>0.18</v>
      </c>
      <c r="BH28" t="s">
        <v>59</v>
      </c>
      <c r="BI28" s="6">
        <f>BI26+BI27</f>
        <v>11137.266342151972</v>
      </c>
    </row>
    <row r="29" spans="2:168" x14ac:dyDescent="0.3">
      <c r="B29" t="s">
        <v>54</v>
      </c>
      <c r="C29" s="10">
        <f t="shared" ref="C29:F29" si="187">C18/C3</f>
        <v>6.9447065484053522E-2</v>
      </c>
      <c r="D29" s="10">
        <f t="shared" si="187"/>
        <v>8.9169960474308294E-2</v>
      </c>
      <c r="E29" s="10">
        <f t="shared" si="187"/>
        <v>9.9507389162561535E-2</v>
      </c>
      <c r="F29" s="10">
        <f t="shared" si="187"/>
        <v>5.8068872383524595E-2</v>
      </c>
      <c r="G29" s="10">
        <f>G18/G3</f>
        <v>6.3105998356614637E-2</v>
      </c>
      <c r="H29" s="10">
        <f t="shared" ref="H29:V29" si="188">H18/H3</f>
        <v>9.2895384170163506E-2</v>
      </c>
      <c r="I29" s="10">
        <f t="shared" si="188"/>
        <v>0.13061082832022206</v>
      </c>
      <c r="J29" s="10">
        <f t="shared" si="188"/>
        <v>6.7595707192055085E-2</v>
      </c>
      <c r="K29" s="10">
        <f t="shared" si="188"/>
        <v>7.0475007761564817E-2</v>
      </c>
      <c r="L29" s="10">
        <f t="shared" si="188"/>
        <v>0.10143115186883431</v>
      </c>
      <c r="M29" s="10">
        <f t="shared" si="188"/>
        <v>0.13016506037443232</v>
      </c>
      <c r="N29" s="10">
        <f t="shared" si="188"/>
        <v>0.30146644106034975</v>
      </c>
      <c r="O29" s="10">
        <f t="shared" si="188"/>
        <v>9.1173127920191929E-2</v>
      </c>
      <c r="P29" s="10">
        <f t="shared" si="188"/>
        <v>0.21229716831053136</v>
      </c>
      <c r="Q29" s="10">
        <f t="shared" si="188"/>
        <v>0.22947280033587236</v>
      </c>
      <c r="R29" s="10">
        <f t="shared" si="188"/>
        <v>0.14694967120255231</v>
      </c>
      <c r="S29" s="10">
        <f t="shared" si="188"/>
        <v>0.14244341132535623</v>
      </c>
      <c r="T29" s="10">
        <f t="shared" si="188"/>
        <v>0.10671361861746917</v>
      </c>
      <c r="U29" s="10">
        <f t="shared" si="188"/>
        <v>0.12867466927976481</v>
      </c>
      <c r="V29" s="10">
        <f t="shared" si="188"/>
        <v>8.7967479674796789E-2</v>
      </c>
      <c r="W29" s="10">
        <f t="shared" ref="W29:AH29" si="189">W18/W3</f>
        <v>8.6904043452021809E-2</v>
      </c>
      <c r="X29" s="10">
        <f t="shared" si="189"/>
        <v>7.1540469973890283E-2</v>
      </c>
      <c r="Y29" s="10">
        <f t="shared" si="189"/>
        <v>0.11024490117332082</v>
      </c>
      <c r="Z29" s="10">
        <f t="shared" si="189"/>
        <v>4.3328819914592205E-2</v>
      </c>
      <c r="AA29" s="10">
        <f t="shared" si="189"/>
        <v>6.4340687532067703E-2</v>
      </c>
      <c r="AB29" s="10">
        <f t="shared" si="189"/>
        <v>0.12980132450331128</v>
      </c>
      <c r="AC29" s="10">
        <f t="shared" si="189"/>
        <v>0.19474313022700121</v>
      </c>
      <c r="AD29" s="10">
        <f t="shared" si="189"/>
        <v>0.16569451309935737</v>
      </c>
      <c r="AE29" s="10">
        <f t="shared" si="189"/>
        <v>0.13030692887336892</v>
      </c>
      <c r="AF29" s="10">
        <f t="shared" si="189"/>
        <v>0.13019713261648747</v>
      </c>
      <c r="AG29" s="10">
        <f t="shared" si="189"/>
        <v>0.1493695441319107</v>
      </c>
      <c r="AH29" s="10">
        <f t="shared" si="189"/>
        <v>0.1427157561361837</v>
      </c>
      <c r="AI29" s="10">
        <f t="shared" ref="AI29:AL29" si="190">AI18/AI3</f>
        <v>0.13650104410078678</v>
      </c>
      <c r="AJ29" s="10">
        <f t="shared" si="190"/>
        <v>0.13320090459122716</v>
      </c>
      <c r="AK29" s="10">
        <f t="shared" si="190"/>
        <v>0.16106074759382225</v>
      </c>
      <c r="AL29" s="10">
        <f t="shared" si="190"/>
        <v>0.1047206144558134</v>
      </c>
      <c r="AO29" s="10">
        <f t="shared" ref="AO29:BC29" si="191">AO18/AO3</f>
        <v>8.1190587501948117E-2</v>
      </c>
      <c r="AP29" s="10">
        <f t="shared" si="191"/>
        <v>9.2421905820751049E-2</v>
      </c>
      <c r="AQ29" s="10">
        <f t="shared" si="191"/>
        <v>0.15054775186504479</v>
      </c>
      <c r="AR29" s="10">
        <f t="shared" si="191"/>
        <v>0.18037812006168713</v>
      </c>
      <c r="AS29" s="10">
        <f t="shared" si="191"/>
        <v>0.1180033569291396</v>
      </c>
      <c r="AT29" s="10">
        <f t="shared" si="191"/>
        <v>8.0327832734803775E-2</v>
      </c>
      <c r="AU29" s="10">
        <f t="shared" si="191"/>
        <v>0.14237524717924868</v>
      </c>
      <c r="AV29" s="10">
        <f t="shared" si="191"/>
        <v>0.13864190212737929</v>
      </c>
      <c r="AW29" s="10">
        <f t="shared" si="191"/>
        <v>0.13593546523749095</v>
      </c>
      <c r="AX29" s="10">
        <f t="shared" si="191"/>
        <v>0.15075911628627178</v>
      </c>
      <c r="AY29" s="10">
        <f t="shared" si="191"/>
        <v>0.15073123464401739</v>
      </c>
      <c r="AZ29" s="10">
        <f t="shared" si="191"/>
        <v>0.15021678978292197</v>
      </c>
      <c r="BA29" s="10">
        <f t="shared" si="191"/>
        <v>0.15024855760149866</v>
      </c>
      <c r="BB29" s="10">
        <f t="shared" si="191"/>
        <v>0.15028001397087362</v>
      </c>
      <c r="BC29" s="10">
        <f t="shared" si="191"/>
        <v>0.15031116194447039</v>
      </c>
      <c r="BD29" s="10">
        <f t="shared" ref="BD29:BF29" si="192">BD18/BD3</f>
        <v>0.15034200454577704</v>
      </c>
      <c r="BE29" s="10">
        <f t="shared" si="192"/>
        <v>0.15037254476863945</v>
      </c>
      <c r="BF29" s="10">
        <f t="shared" si="192"/>
        <v>0.15040278557755227</v>
      </c>
      <c r="BH29" t="s">
        <v>60</v>
      </c>
      <c r="BI29" s="5">
        <f>BI28/BC19</f>
        <v>74.746753974174311</v>
      </c>
    </row>
    <row r="30" spans="2:168" x14ac:dyDescent="0.3">
      <c r="BH30" t="s">
        <v>61</v>
      </c>
      <c r="BI30" s="5">
        <f>Main!D3</f>
        <v>78.150000000000006</v>
      </c>
    </row>
    <row r="31" spans="2:168" x14ac:dyDescent="0.3">
      <c r="BH31" s="1" t="s">
        <v>62</v>
      </c>
      <c r="BI31" s="11">
        <f>BI29/BI30-1</f>
        <v>-4.3547613894122761E-2</v>
      </c>
    </row>
    <row r="32" spans="2:168" x14ac:dyDescent="0.3">
      <c r="BH32" t="s">
        <v>63</v>
      </c>
      <c r="BI32" s="7" t="s">
        <v>81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Mniszek</cp:lastModifiedBy>
  <dcterms:created xsi:type="dcterms:W3CDTF">2021-05-13T17:47:25Z</dcterms:created>
  <dcterms:modified xsi:type="dcterms:W3CDTF">2025-05-04T11:52:27Z</dcterms:modified>
</cp:coreProperties>
</file>