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45970FC-1C75-4014-9378-B5255ACFC6F3}" xr6:coauthVersionLast="47" xr6:coauthVersionMax="47" xr10:uidLastSave="{00000000-0000-0000-0000-000000000000}"/>
  <bookViews>
    <workbookView xWindow="-108" yWindow="-108" windowWidth="23256" windowHeight="12576" activeTab="1" xr2:uid="{6DDD031F-268C-499B-AA28-026B79B6D7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P3" i="2" s="1"/>
  <c r="R11" i="2"/>
  <c r="Q11" i="2"/>
  <c r="P11" i="2"/>
  <c r="O11" i="2"/>
  <c r="N8" i="2"/>
  <c r="N3" i="2"/>
  <c r="S12" i="2"/>
  <c r="R12" i="2"/>
  <c r="Q12" i="2"/>
  <c r="P12" i="2"/>
  <c r="O12" i="2"/>
  <c r="N12" i="2"/>
  <c r="X24" i="2"/>
  <c r="W24" i="2"/>
  <c r="V24" i="2"/>
  <c r="U24" i="2"/>
  <c r="T24" i="2"/>
  <c r="S24" i="2"/>
  <c r="R24" i="2"/>
  <c r="Q24" i="2"/>
  <c r="P24" i="2"/>
  <c r="O24" i="2"/>
  <c r="N24" i="2"/>
  <c r="M24" i="2"/>
  <c r="D7" i="1"/>
  <c r="D6" i="1"/>
  <c r="D8" i="1" s="1"/>
  <c r="D4" i="1"/>
  <c r="AA36" i="2"/>
  <c r="L31" i="2"/>
  <c r="M30" i="2"/>
  <c r="L30" i="2"/>
  <c r="K31" i="2"/>
  <c r="K30" i="2"/>
  <c r="E34" i="2"/>
  <c r="C34" i="2"/>
  <c r="E35" i="2"/>
  <c r="C35" i="2"/>
  <c r="L27" i="2"/>
  <c r="K27" i="2"/>
  <c r="N11" i="2"/>
  <c r="M5" i="2"/>
  <c r="E33" i="2"/>
  <c r="C33" i="2"/>
  <c r="E32" i="2"/>
  <c r="C32" i="2"/>
  <c r="E29" i="2"/>
  <c r="C29" i="2"/>
  <c r="E28" i="2"/>
  <c r="C28" i="2"/>
  <c r="F31" i="2"/>
  <c r="F30" i="2"/>
  <c r="F27" i="2"/>
  <c r="D17" i="2"/>
  <c r="D5" i="2"/>
  <c r="D9" i="2" s="1"/>
  <c r="D28" i="2" s="1"/>
  <c r="F17" i="2"/>
  <c r="F5" i="2"/>
  <c r="F29" i="2" s="1"/>
  <c r="D9" i="1"/>
  <c r="Q3" i="2" l="1"/>
  <c r="P8" i="2"/>
  <c r="O8" i="2"/>
  <c r="S11" i="2"/>
  <c r="T11" i="2" s="1"/>
  <c r="U11" i="2" s="1"/>
  <c r="V11" i="2" s="1"/>
  <c r="W11" i="2" s="1"/>
  <c r="X11" i="2" s="1"/>
  <c r="X30" i="2" s="1"/>
  <c r="T12" i="2"/>
  <c r="U12" i="2" s="1"/>
  <c r="V12" i="2" s="1"/>
  <c r="W12" i="2" s="1"/>
  <c r="X12" i="2" s="1"/>
  <c r="M9" i="2"/>
  <c r="M28" i="2" s="1"/>
  <c r="M27" i="2"/>
  <c r="D10" i="1"/>
  <c r="AA33" i="2" s="1"/>
  <c r="O30" i="2"/>
  <c r="P30" i="2"/>
  <c r="N30" i="2"/>
  <c r="N31" i="2"/>
  <c r="M31" i="2"/>
  <c r="D29" i="2"/>
  <c r="D18" i="2"/>
  <c r="F9" i="2"/>
  <c r="D5" i="1"/>
  <c r="J17" i="2"/>
  <c r="K17" i="2"/>
  <c r="L17" i="2"/>
  <c r="J8" i="2"/>
  <c r="J5" i="2"/>
  <c r="K8" i="2"/>
  <c r="L8" i="2"/>
  <c r="K5" i="2"/>
  <c r="K29" i="2" s="1"/>
  <c r="L5" i="2"/>
  <c r="L29" i="2" s="1"/>
  <c r="F3" i="1"/>
  <c r="R3" i="2" l="1"/>
  <c r="Q8" i="2"/>
  <c r="R30" i="2"/>
  <c r="V30" i="2"/>
  <c r="S30" i="2"/>
  <c r="W30" i="2"/>
  <c r="U30" i="2"/>
  <c r="Q30" i="2"/>
  <c r="T30" i="2"/>
  <c r="N27" i="2"/>
  <c r="M17" i="2"/>
  <c r="M18" i="2" s="1"/>
  <c r="M29" i="2"/>
  <c r="D11" i="1"/>
  <c r="O31" i="2"/>
  <c r="N5" i="2"/>
  <c r="N10" i="2" s="1"/>
  <c r="F18" i="2"/>
  <c r="F28" i="2"/>
  <c r="D20" i="2"/>
  <c r="D34" i="2" s="1"/>
  <c r="D32" i="2"/>
  <c r="L9" i="2"/>
  <c r="J9" i="2"/>
  <c r="J18" i="2" s="1"/>
  <c r="J20" i="2" s="1"/>
  <c r="J23" i="2" s="1"/>
  <c r="J25" i="2" s="1"/>
  <c r="K9" i="2"/>
  <c r="S3" i="2" l="1"/>
  <c r="R8" i="2"/>
  <c r="L18" i="2"/>
  <c r="L28" i="2"/>
  <c r="O27" i="2"/>
  <c r="P31" i="2"/>
  <c r="M20" i="2"/>
  <c r="M32" i="2"/>
  <c r="F20" i="2"/>
  <c r="F34" i="2" s="1"/>
  <c r="F32" i="2"/>
  <c r="N9" i="2"/>
  <c r="D23" i="2"/>
  <c r="D35" i="2" s="1"/>
  <c r="D33" i="2"/>
  <c r="K18" i="2"/>
  <c r="K28" i="2"/>
  <c r="O5" i="2"/>
  <c r="O10" i="2" s="1"/>
  <c r="T3" i="2" l="1"/>
  <c r="S8" i="2"/>
  <c r="O17" i="2"/>
  <c r="O29" i="2"/>
  <c r="L20" i="2"/>
  <c r="L32" i="2"/>
  <c r="N17" i="2"/>
  <c r="N18" i="2" s="1"/>
  <c r="N29" i="2"/>
  <c r="P27" i="2"/>
  <c r="Q31" i="2"/>
  <c r="N28" i="2"/>
  <c r="M33" i="2"/>
  <c r="M34" i="2"/>
  <c r="K20" i="2"/>
  <c r="K34" i="2" s="1"/>
  <c r="K32" i="2"/>
  <c r="F23" i="2"/>
  <c r="F35" i="2" s="1"/>
  <c r="F33" i="2"/>
  <c r="D25" i="2"/>
  <c r="O9" i="2"/>
  <c r="P5" i="2"/>
  <c r="P10" i="2" s="1"/>
  <c r="U3" i="2" l="1"/>
  <c r="T8" i="2"/>
  <c r="P17" i="2"/>
  <c r="P29" i="2"/>
  <c r="M23" i="2"/>
  <c r="M35" i="2" s="1"/>
  <c r="Q27" i="2"/>
  <c r="L23" i="2"/>
  <c r="L34" i="2"/>
  <c r="L33" i="2"/>
  <c r="R31" i="2"/>
  <c r="O18" i="2"/>
  <c r="O28" i="2"/>
  <c r="N20" i="2"/>
  <c r="N32" i="2"/>
  <c r="K33" i="2"/>
  <c r="K23" i="2"/>
  <c r="K35" i="2" s="1"/>
  <c r="Q5" i="2"/>
  <c r="Q10" i="2" s="1"/>
  <c r="F25" i="2"/>
  <c r="P9" i="2"/>
  <c r="V3" i="2" l="1"/>
  <c r="U8" i="2"/>
  <c r="M25" i="2"/>
  <c r="L25" i="2"/>
  <c r="L35" i="2"/>
  <c r="Q9" i="2"/>
  <c r="Q28" i="2" s="1"/>
  <c r="Q17" i="2"/>
  <c r="Q29" i="2"/>
  <c r="R27" i="2"/>
  <c r="S31" i="2"/>
  <c r="O20" i="2"/>
  <c r="O32" i="2"/>
  <c r="P18" i="2"/>
  <c r="P28" i="2"/>
  <c r="N34" i="2"/>
  <c r="N21" i="2"/>
  <c r="R5" i="2"/>
  <c r="R10" i="2" s="1"/>
  <c r="K25" i="2"/>
  <c r="W3" i="2" l="1"/>
  <c r="V8" i="2"/>
  <c r="Q18" i="2"/>
  <c r="Q32" i="2" s="1"/>
  <c r="S27" i="2"/>
  <c r="T31" i="2"/>
  <c r="N23" i="2"/>
  <c r="N33" i="2"/>
  <c r="P20" i="2"/>
  <c r="P32" i="2"/>
  <c r="O21" i="2"/>
  <c r="O34" i="2"/>
  <c r="R9" i="2"/>
  <c r="R28" i="2" s="1"/>
  <c r="S5" i="2"/>
  <c r="S10" i="2" s="1"/>
  <c r="X3" i="2" l="1"/>
  <c r="X8" i="2" s="1"/>
  <c r="W8" i="2"/>
  <c r="Q20" i="2"/>
  <c r="Q34" i="2" s="1"/>
  <c r="R17" i="2"/>
  <c r="R18" i="2" s="1"/>
  <c r="R29" i="2"/>
  <c r="T27" i="2"/>
  <c r="S17" i="2"/>
  <c r="S29" i="2"/>
  <c r="S9" i="2"/>
  <c r="S28" i="2" s="1"/>
  <c r="U31" i="2"/>
  <c r="N25" i="2"/>
  <c r="N35" i="2"/>
  <c r="O23" i="2"/>
  <c r="O33" i="2"/>
  <c r="P21" i="2"/>
  <c r="P34" i="2"/>
  <c r="T5" i="2"/>
  <c r="T10" i="2" s="1"/>
  <c r="Q21" i="2" l="1"/>
  <c r="Q33" i="2" s="1"/>
  <c r="S18" i="2"/>
  <c r="S32" i="2" s="1"/>
  <c r="U27" i="2"/>
  <c r="V31" i="2"/>
  <c r="R20" i="2"/>
  <c r="R32" i="2"/>
  <c r="P23" i="2"/>
  <c r="P33" i="2"/>
  <c r="O25" i="2"/>
  <c r="O35" i="2"/>
  <c r="T9" i="2"/>
  <c r="T28" i="2" s="1"/>
  <c r="U5" i="2"/>
  <c r="U10" i="2" s="1"/>
  <c r="Q23" i="2" l="1"/>
  <c r="Q25" i="2" s="1"/>
  <c r="S20" i="2"/>
  <c r="S34" i="2" s="1"/>
  <c r="V27" i="2"/>
  <c r="T17" i="2"/>
  <c r="T18" i="2" s="1"/>
  <c r="T29" i="2"/>
  <c r="X31" i="2"/>
  <c r="W31" i="2"/>
  <c r="P25" i="2"/>
  <c r="P35" i="2"/>
  <c r="R21" i="2"/>
  <c r="R34" i="2"/>
  <c r="V5" i="2"/>
  <c r="V10" i="2" s="1"/>
  <c r="U9" i="2"/>
  <c r="U28" i="2" s="1"/>
  <c r="Q35" i="2" l="1"/>
  <c r="S21" i="2"/>
  <c r="S23" i="2" s="1"/>
  <c r="W27" i="2"/>
  <c r="U17" i="2"/>
  <c r="U18" i="2" s="1"/>
  <c r="U29" i="2"/>
  <c r="R23" i="2"/>
  <c r="R33" i="2"/>
  <c r="T20" i="2"/>
  <c r="T32" i="2"/>
  <c r="W5" i="2"/>
  <c r="W10" i="2" s="1"/>
  <c r="V9" i="2"/>
  <c r="V28" i="2" s="1"/>
  <c r="S33" i="2" l="1"/>
  <c r="V17" i="2"/>
  <c r="V18" i="2" s="1"/>
  <c r="V29" i="2"/>
  <c r="W17" i="2"/>
  <c r="W29" i="2"/>
  <c r="X27" i="2"/>
  <c r="T34" i="2"/>
  <c r="T21" i="2"/>
  <c r="T33" i="2" s="1"/>
  <c r="S25" i="2"/>
  <c r="S35" i="2"/>
  <c r="U20" i="2"/>
  <c r="U34" i="2" s="1"/>
  <c r="U32" i="2"/>
  <c r="R25" i="2"/>
  <c r="R35" i="2"/>
  <c r="X5" i="2"/>
  <c r="X10" i="2" s="1"/>
  <c r="W9" i="2"/>
  <c r="X17" i="2" l="1"/>
  <c r="X29" i="2"/>
  <c r="W18" i="2"/>
  <c r="W28" i="2"/>
  <c r="U21" i="2"/>
  <c r="U33" i="2" s="1"/>
  <c r="T23" i="2"/>
  <c r="V20" i="2"/>
  <c r="V34" i="2" s="1"/>
  <c r="V32" i="2"/>
  <c r="X9" i="2"/>
  <c r="X28" i="2" s="1"/>
  <c r="U23" i="2" l="1"/>
  <c r="U25" i="2" s="1"/>
  <c r="T25" i="2"/>
  <c r="T35" i="2"/>
  <c r="X18" i="2"/>
  <c r="V21" i="2"/>
  <c r="W20" i="2"/>
  <c r="W32" i="2"/>
  <c r="U35" i="2" l="1"/>
  <c r="W21" i="2"/>
  <c r="W34" i="2"/>
  <c r="V33" i="2"/>
  <c r="V23" i="2"/>
  <c r="X20" i="2"/>
  <c r="X32" i="2"/>
  <c r="X21" i="2" l="1"/>
  <c r="X34" i="2"/>
  <c r="V25" i="2"/>
  <c r="V35" i="2"/>
  <c r="W23" i="2"/>
  <c r="W33" i="2"/>
  <c r="W25" i="2" l="1"/>
  <c r="W35" i="2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X33" i="2"/>
  <c r="AA31" i="2" l="1"/>
  <c r="AA32" i="2" s="1"/>
  <c r="AA34" i="2" s="1"/>
  <c r="AA35" i="2" s="1"/>
  <c r="AA37" i="2" s="1"/>
  <c r="X25" i="2"/>
  <c r="X35" i="2"/>
</calcChain>
</file>

<file path=xl/sharedStrings.xml><?xml version="1.0" encoding="utf-8"?>
<sst xmlns="http://schemas.openxmlformats.org/spreadsheetml/2006/main" count="68" uniqueCount="62">
  <si>
    <t>MLGO</t>
  </si>
  <si>
    <t>Price</t>
  </si>
  <si>
    <t>Shares</t>
  </si>
  <si>
    <t>MC</t>
  </si>
  <si>
    <t>Net Cash</t>
  </si>
  <si>
    <t>EV</t>
  </si>
  <si>
    <t>Last checked</t>
  </si>
  <si>
    <t>Today</t>
  </si>
  <si>
    <t>Earnings</t>
  </si>
  <si>
    <t>Gross profit</t>
  </si>
  <si>
    <t>S&amp;M</t>
  </si>
  <si>
    <t>G&amp;A</t>
  </si>
  <si>
    <t>R&amp;D</t>
  </si>
  <si>
    <t>SBC</t>
  </si>
  <si>
    <t>Goodwill impairment</t>
  </si>
  <si>
    <t>Asset impairment</t>
  </si>
  <si>
    <t>Fair value</t>
  </si>
  <si>
    <t>Total operating expenses</t>
  </si>
  <si>
    <t>Operating profit</t>
  </si>
  <si>
    <t>Other income</t>
  </si>
  <si>
    <t>Pretax profit</t>
  </si>
  <si>
    <t>Taxes</t>
  </si>
  <si>
    <t>Net profit</t>
  </si>
  <si>
    <t>EPS</t>
  </si>
  <si>
    <t>Algorithm revenue</t>
  </si>
  <si>
    <t>Product revenue</t>
  </si>
  <si>
    <t>Algorithm cost</t>
  </si>
  <si>
    <t>Product cost</t>
  </si>
  <si>
    <t>Total cost of sales</t>
  </si>
  <si>
    <t>Total revenue</t>
  </si>
  <si>
    <t>USD/RMB</t>
  </si>
  <si>
    <t>Cash ¥</t>
  </si>
  <si>
    <t>Debt ¥</t>
  </si>
  <si>
    <t>Cash USD</t>
  </si>
  <si>
    <t>Debt USD</t>
  </si>
  <si>
    <t>Q123</t>
  </si>
  <si>
    <t>?</t>
  </si>
  <si>
    <t>MI</t>
  </si>
  <si>
    <t>Algorithm revenue y/y</t>
  </si>
  <si>
    <t>Gross Margin</t>
  </si>
  <si>
    <t>S&amp;M Margin</t>
  </si>
  <si>
    <t>G&amp;A y/y</t>
  </si>
  <si>
    <t>R&amp;D y/y</t>
  </si>
  <si>
    <t>Operating Margin</t>
  </si>
  <si>
    <t>Net Margin</t>
  </si>
  <si>
    <t>Maturity</t>
  </si>
  <si>
    <t>Discount rate</t>
  </si>
  <si>
    <t>NPV</t>
  </si>
  <si>
    <t>NPV USD</t>
  </si>
  <si>
    <t>Net cash</t>
  </si>
  <si>
    <t>Value</t>
  </si>
  <si>
    <t>Per share</t>
  </si>
  <si>
    <t>Current price</t>
  </si>
  <si>
    <t>Variance</t>
  </si>
  <si>
    <t>Consensus</t>
  </si>
  <si>
    <t>H124</t>
  </si>
  <si>
    <t>H123</t>
  </si>
  <si>
    <t>H225</t>
  </si>
  <si>
    <t>H224</t>
  </si>
  <si>
    <t>H125</t>
  </si>
  <si>
    <t>H223</t>
  </si>
  <si>
    <t>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</si>
</sst>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¥-804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0</xdr:row>
      <xdr:rowOff>15240</xdr:rowOff>
    </xdr:from>
    <xdr:to>
      <xdr:col>13</xdr:col>
      <xdr:colOff>22860</xdr:colOff>
      <xdr:row>37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316437-4805-CBFF-CCAB-392C6AA13369}"/>
            </a:ext>
          </a:extLst>
        </xdr:cNvPr>
        <xdr:cNvCxnSpPr/>
      </xdr:nvCxnSpPr>
      <xdr:spPr>
        <a:xfrm>
          <a:off x="8938260" y="15240"/>
          <a:ext cx="0" cy="6835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7252-77FF-42CC-AA1D-7FD148E14A41}">
  <dimension ref="B2:G13"/>
  <sheetViews>
    <sheetView workbookViewId="0">
      <selection activeCell="D13" sqref="D13"/>
    </sheetView>
  </sheetViews>
  <sheetFormatPr defaultRowHeight="14.4" x14ac:dyDescent="0.3"/>
  <cols>
    <col min="5" max="7" width="14.44140625" style="3" customWidth="1"/>
  </cols>
  <sheetData>
    <row r="2" spans="2:7" x14ac:dyDescent="0.3">
      <c r="E2" s="3" t="s">
        <v>6</v>
      </c>
      <c r="F2" s="3" t="s">
        <v>7</v>
      </c>
      <c r="G2" s="3" t="s">
        <v>8</v>
      </c>
    </row>
    <row r="3" spans="2:7" x14ac:dyDescent="0.3">
      <c r="B3" s="1" t="s">
        <v>0</v>
      </c>
      <c r="C3" t="s">
        <v>1</v>
      </c>
      <c r="D3" s="2">
        <v>4.4400000000000004</v>
      </c>
      <c r="E3" s="4">
        <v>45780</v>
      </c>
      <c r="F3" s="4">
        <f ca="1">TODAY()</f>
        <v>45781</v>
      </c>
      <c r="G3" s="4" t="s">
        <v>36</v>
      </c>
    </row>
    <row r="4" spans="2:7" x14ac:dyDescent="0.3">
      <c r="C4" t="s">
        <v>2</v>
      </c>
      <c r="D4" s="5">
        <f>9.7</f>
        <v>9.6999999999999993</v>
      </c>
      <c r="E4" s="3" t="s">
        <v>57</v>
      </c>
    </row>
    <row r="5" spans="2:7" x14ac:dyDescent="0.3">
      <c r="C5" t="s">
        <v>3</v>
      </c>
      <c r="D5" s="5">
        <f>D3*D4</f>
        <v>43.067999999999998</v>
      </c>
    </row>
    <row r="6" spans="2:7" x14ac:dyDescent="0.3">
      <c r="C6" t="s">
        <v>31</v>
      </c>
      <c r="D6" s="5">
        <f>1035.9+149.6</f>
        <v>1185.5</v>
      </c>
      <c r="E6" s="3" t="s">
        <v>57</v>
      </c>
    </row>
    <row r="7" spans="2:7" x14ac:dyDescent="0.3">
      <c r="C7" t="s">
        <v>32</v>
      </c>
      <c r="D7" s="5">
        <f>15+149.1</f>
        <v>164.1</v>
      </c>
      <c r="E7" s="3" t="s">
        <v>57</v>
      </c>
    </row>
    <row r="8" spans="2:7" x14ac:dyDescent="0.3">
      <c r="C8" t="s">
        <v>33</v>
      </c>
      <c r="D8" s="5">
        <f>D6/D13</f>
        <v>163.06740027510318</v>
      </c>
    </row>
    <row r="9" spans="2:7" x14ac:dyDescent="0.3">
      <c r="C9" t="s">
        <v>34</v>
      </c>
      <c r="D9" s="5">
        <f>D7/D13</f>
        <v>22.572214580467676</v>
      </c>
    </row>
    <row r="10" spans="2:7" x14ac:dyDescent="0.3">
      <c r="C10" t="s">
        <v>4</v>
      </c>
      <c r="D10" s="5">
        <f>D8-D9</f>
        <v>140.4951856946355</v>
      </c>
    </row>
    <row r="11" spans="2:7" x14ac:dyDescent="0.3">
      <c r="C11" t="s">
        <v>5</v>
      </c>
      <c r="D11" s="5">
        <f>D5-D10</f>
        <v>-97.427185694635497</v>
      </c>
    </row>
    <row r="13" spans="2:7" x14ac:dyDescent="0.3">
      <c r="C13" t="s">
        <v>30</v>
      </c>
      <c r="D13" s="7">
        <v>7.27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FAE-8E84-460F-B420-1A817A9BEA7E}">
  <dimension ref="B1:EG38"/>
  <sheetViews>
    <sheetView tabSelected="1" workbookViewId="0">
      <pane xSplit="2" ySplit="2" topLeftCell="K12" activePane="bottomRight" state="frozen"/>
      <selection pane="topRight" activeCell="C1" sqref="C1"/>
      <selection pane="bottomLeft" activeCell="A3" sqref="A3"/>
      <selection pane="bottomRight" activeCell="R38" sqref="R38"/>
    </sheetView>
  </sheetViews>
  <sheetFormatPr defaultRowHeight="14.4" x14ac:dyDescent="0.3"/>
  <cols>
    <col min="2" max="2" width="21.6640625" bestFit="1" customWidth="1"/>
    <col min="13" max="13" width="10.5546875" bestFit="1" customWidth="1"/>
    <col min="26" max="26" width="11.88671875" bestFit="1" customWidth="1"/>
    <col min="27" max="27" width="16.44140625" bestFit="1" customWidth="1"/>
  </cols>
  <sheetData>
    <row r="1" spans="2:24" x14ac:dyDescent="0.3">
      <c r="F1" t="s">
        <v>36</v>
      </c>
      <c r="M1" s="12">
        <v>45657</v>
      </c>
    </row>
    <row r="2" spans="2:24" x14ac:dyDescent="0.3">
      <c r="C2" s="8" t="s">
        <v>35</v>
      </c>
      <c r="D2" s="8" t="s">
        <v>56</v>
      </c>
      <c r="E2" s="8" t="s">
        <v>60</v>
      </c>
      <c r="F2" s="8" t="s">
        <v>55</v>
      </c>
      <c r="G2" s="8" t="s">
        <v>58</v>
      </c>
      <c r="H2" s="8" t="s">
        <v>59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</row>
    <row r="3" spans="2:24" x14ac:dyDescent="0.3">
      <c r="B3" t="s">
        <v>24</v>
      </c>
      <c r="D3" s="5">
        <v>253.7</v>
      </c>
      <c r="F3" s="5">
        <v>290.39999999999998</v>
      </c>
      <c r="J3" s="5">
        <v>273</v>
      </c>
      <c r="K3" s="5">
        <v>447.8</v>
      </c>
      <c r="L3" s="5">
        <v>569.9</v>
      </c>
      <c r="M3" s="5">
        <v>541.5</v>
      </c>
      <c r="N3" s="5">
        <f>M3*0.95</f>
        <v>514.42499999999995</v>
      </c>
      <c r="O3" s="5">
        <f>N3*0.65</f>
        <v>334.37624999999997</v>
      </c>
      <c r="P3" s="5">
        <f t="shared" ref="P3:X3" si="0">O3*0.95</f>
        <v>317.65743749999996</v>
      </c>
      <c r="Q3" s="5">
        <f t="shared" si="0"/>
        <v>301.77456562499992</v>
      </c>
      <c r="R3" s="5">
        <f t="shared" si="0"/>
        <v>286.68583734374994</v>
      </c>
      <c r="S3" s="5">
        <f t="shared" si="0"/>
        <v>272.35154547656242</v>
      </c>
      <c r="T3" s="5">
        <f t="shared" si="0"/>
        <v>258.73396820273427</v>
      </c>
      <c r="U3" s="5">
        <f t="shared" si="0"/>
        <v>245.79726979259755</v>
      </c>
      <c r="V3" s="5">
        <f t="shared" si="0"/>
        <v>233.50740630296767</v>
      </c>
      <c r="W3" s="5">
        <f t="shared" si="0"/>
        <v>221.83203598781927</v>
      </c>
      <c r="X3" s="5">
        <f t="shared" si="0"/>
        <v>210.74043418842828</v>
      </c>
    </row>
    <row r="4" spans="2:24" x14ac:dyDescent="0.3">
      <c r="B4" t="s">
        <v>25</v>
      </c>
      <c r="D4" s="5">
        <v>9.9</v>
      </c>
      <c r="F4" s="5">
        <v>0</v>
      </c>
      <c r="J4" s="5">
        <v>256.2</v>
      </c>
      <c r="K4" s="5">
        <v>138.19999999999999</v>
      </c>
      <c r="L4" s="5">
        <v>10.1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2:24" s="1" customFormat="1" x14ac:dyDescent="0.3">
      <c r="B5" s="1" t="s">
        <v>29</v>
      </c>
      <c r="D5" s="6">
        <f>SUM(D3:D4)</f>
        <v>263.59999999999997</v>
      </c>
      <c r="F5" s="6">
        <f>SUM(F3:F4)</f>
        <v>290.39999999999998</v>
      </c>
      <c r="J5" s="6">
        <f>SUM(J3:J4)</f>
        <v>529.20000000000005</v>
      </c>
      <c r="K5" s="6">
        <f>SUM(K3:K4)</f>
        <v>586</v>
      </c>
      <c r="L5" s="6">
        <f>SUM(L3:L4)</f>
        <v>580</v>
      </c>
      <c r="M5" s="6">
        <f>SUM(M3:M4)</f>
        <v>541.5</v>
      </c>
      <c r="N5" s="6">
        <f t="shared" ref="N5:X5" si="1">SUM(N3:N4)</f>
        <v>514.42499999999995</v>
      </c>
      <c r="O5" s="6">
        <f t="shared" si="1"/>
        <v>334.37624999999997</v>
      </c>
      <c r="P5" s="6">
        <f t="shared" si="1"/>
        <v>317.65743749999996</v>
      </c>
      <c r="Q5" s="6">
        <f t="shared" si="1"/>
        <v>301.77456562499992</v>
      </c>
      <c r="R5" s="6">
        <f t="shared" si="1"/>
        <v>286.68583734374994</v>
      </c>
      <c r="S5" s="6">
        <f t="shared" si="1"/>
        <v>272.35154547656242</v>
      </c>
      <c r="T5" s="6">
        <f t="shared" si="1"/>
        <v>258.73396820273427</v>
      </c>
      <c r="U5" s="6">
        <f t="shared" si="1"/>
        <v>245.79726979259755</v>
      </c>
      <c r="V5" s="6">
        <f t="shared" si="1"/>
        <v>233.50740630296767</v>
      </c>
      <c r="W5" s="6">
        <f t="shared" si="1"/>
        <v>221.83203598781927</v>
      </c>
      <c r="X5" s="6">
        <f t="shared" si="1"/>
        <v>210.74043418842828</v>
      </c>
    </row>
    <row r="6" spans="2:24" x14ac:dyDescent="0.3">
      <c r="B6" t="s">
        <v>26</v>
      </c>
      <c r="D6" s="5"/>
      <c r="F6" s="5"/>
      <c r="J6" s="5">
        <v>96.9</v>
      </c>
      <c r="K6" s="5">
        <v>324.2</v>
      </c>
      <c r="L6" s="5">
        <v>396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2:24" x14ac:dyDescent="0.3">
      <c r="B7" t="s">
        <v>27</v>
      </c>
      <c r="D7" s="5"/>
      <c r="F7" s="5"/>
      <c r="J7" s="5">
        <v>218.7</v>
      </c>
      <c r="K7" s="5">
        <v>134.30000000000001</v>
      </c>
      <c r="L7" s="5">
        <v>10.1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2:24" x14ac:dyDescent="0.3">
      <c r="B8" t="s">
        <v>28</v>
      </c>
      <c r="D8" s="5">
        <v>80.5</v>
      </c>
      <c r="F8" s="5">
        <v>203</v>
      </c>
      <c r="J8" s="5">
        <f>SUM(J6:J7)</f>
        <v>315.60000000000002</v>
      </c>
      <c r="K8" s="5">
        <f>SUM(K6:K7)</f>
        <v>458.5</v>
      </c>
      <c r="L8" s="5">
        <f>SUM(L6:L7)</f>
        <v>406.1</v>
      </c>
      <c r="M8" s="5">
        <v>387.7</v>
      </c>
      <c r="N8" s="5">
        <f>N3*0.72</f>
        <v>370.38599999999997</v>
      </c>
      <c r="O8" s="5">
        <f t="shared" ref="O8:X8" si="2">O3*0.72</f>
        <v>240.75089999999997</v>
      </c>
      <c r="P8" s="5">
        <f t="shared" si="2"/>
        <v>228.71335499999995</v>
      </c>
      <c r="Q8" s="5">
        <f t="shared" si="2"/>
        <v>217.27768724999993</v>
      </c>
      <c r="R8" s="5">
        <f t="shared" si="2"/>
        <v>206.41380288749994</v>
      </c>
      <c r="S8" s="5">
        <f t="shared" si="2"/>
        <v>196.09311274312495</v>
      </c>
      <c r="T8" s="5">
        <f t="shared" si="2"/>
        <v>186.28845710596866</v>
      </c>
      <c r="U8" s="5">
        <f t="shared" si="2"/>
        <v>176.97403425067023</v>
      </c>
      <c r="V8" s="5">
        <f t="shared" si="2"/>
        <v>168.12533253813672</v>
      </c>
      <c r="W8" s="5">
        <f t="shared" si="2"/>
        <v>159.71906591122988</v>
      </c>
      <c r="X8" s="5">
        <f t="shared" si="2"/>
        <v>151.73311261566835</v>
      </c>
    </row>
    <row r="9" spans="2:24" s="1" customFormat="1" x14ac:dyDescent="0.3">
      <c r="B9" s="1" t="s">
        <v>9</v>
      </c>
      <c r="D9" s="6">
        <f t="shared" ref="D9" si="3">D5-D8</f>
        <v>183.09999999999997</v>
      </c>
      <c r="F9" s="6">
        <f t="shared" ref="F9" si="4">F5-F8</f>
        <v>87.399999999999977</v>
      </c>
      <c r="J9" s="6">
        <f t="shared" ref="J9:K9" si="5">J5-J8</f>
        <v>213.60000000000002</v>
      </c>
      <c r="K9" s="6">
        <f t="shared" si="5"/>
        <v>127.5</v>
      </c>
      <c r="L9" s="6">
        <f>L5-L8</f>
        <v>173.89999999999998</v>
      </c>
      <c r="M9" s="6">
        <f>M5-M8</f>
        <v>153.80000000000001</v>
      </c>
      <c r="N9" s="6">
        <f t="shared" ref="N9:X9" si="6">N5-N8</f>
        <v>144.03899999999999</v>
      </c>
      <c r="O9" s="6">
        <f t="shared" si="6"/>
        <v>93.625349999999997</v>
      </c>
      <c r="P9" s="6">
        <f t="shared" si="6"/>
        <v>88.944082500000007</v>
      </c>
      <c r="Q9" s="6">
        <f t="shared" si="6"/>
        <v>84.496878374999994</v>
      </c>
      <c r="R9" s="6">
        <f t="shared" si="6"/>
        <v>80.272034456249997</v>
      </c>
      <c r="S9" s="6">
        <f t="shared" si="6"/>
        <v>76.258432733437473</v>
      </c>
      <c r="T9" s="6">
        <f t="shared" si="6"/>
        <v>72.445511096765614</v>
      </c>
      <c r="U9" s="6">
        <f t="shared" si="6"/>
        <v>68.823235541927318</v>
      </c>
      <c r="V9" s="6">
        <f t="shared" si="6"/>
        <v>65.382073764830949</v>
      </c>
      <c r="W9" s="6">
        <f t="shared" si="6"/>
        <v>62.112970076589392</v>
      </c>
      <c r="X9" s="6">
        <f t="shared" si="6"/>
        <v>59.007321572759935</v>
      </c>
    </row>
    <row r="10" spans="2:24" x14ac:dyDescent="0.3">
      <c r="B10" t="s">
        <v>10</v>
      </c>
      <c r="D10" s="5">
        <v>1.2</v>
      </c>
      <c r="F10" s="5">
        <v>1.1000000000000001</v>
      </c>
      <c r="J10" s="5">
        <v>5.4</v>
      </c>
      <c r="K10" s="5">
        <v>3.8</v>
      </c>
      <c r="L10" s="5">
        <v>2.8</v>
      </c>
      <c r="M10" s="5">
        <v>2.2000000000000002</v>
      </c>
      <c r="N10" s="5">
        <f>N5*0.005</f>
        <v>2.5721249999999998</v>
      </c>
      <c r="O10" s="5">
        <f t="shared" ref="O10:X10" si="7">O5*0.005</f>
        <v>1.67188125</v>
      </c>
      <c r="P10" s="5">
        <f t="shared" si="7"/>
        <v>1.5882871874999998</v>
      </c>
      <c r="Q10" s="5">
        <f t="shared" si="7"/>
        <v>1.5088728281249997</v>
      </c>
      <c r="R10" s="5">
        <f t="shared" si="7"/>
        <v>1.4334291867187496</v>
      </c>
      <c r="S10" s="5">
        <f t="shared" si="7"/>
        <v>1.3617577273828121</v>
      </c>
      <c r="T10" s="5">
        <f t="shared" si="7"/>
        <v>1.2936698410136713</v>
      </c>
      <c r="U10" s="5">
        <f t="shared" si="7"/>
        <v>1.2289863489629878</v>
      </c>
      <c r="V10" s="5">
        <f t="shared" si="7"/>
        <v>1.1675370315148383</v>
      </c>
      <c r="W10" s="5">
        <f t="shared" si="7"/>
        <v>1.1091601799390964</v>
      </c>
      <c r="X10" s="5">
        <f t="shared" si="7"/>
        <v>1.0537021709421415</v>
      </c>
    </row>
    <row r="11" spans="2:24" x14ac:dyDescent="0.3">
      <c r="B11" t="s">
        <v>11</v>
      </c>
      <c r="D11" s="5">
        <v>7.6</v>
      </c>
      <c r="F11" s="5">
        <v>7.8</v>
      </c>
      <c r="J11" s="5">
        <v>34</v>
      </c>
      <c r="K11" s="5">
        <v>34.5</v>
      </c>
      <c r="L11" s="5">
        <v>24.9</v>
      </c>
      <c r="M11" s="5">
        <v>19.7</v>
      </c>
      <c r="N11" s="5">
        <f>M11*1.2</f>
        <v>23.639999999999997</v>
      </c>
      <c r="O11" s="5">
        <f>N11*1.1</f>
        <v>26.003999999999998</v>
      </c>
      <c r="P11" s="5">
        <f>O11*1.05</f>
        <v>27.304199999999998</v>
      </c>
      <c r="Q11" s="5">
        <f>P11*1.04</f>
        <v>28.396367999999999</v>
      </c>
      <c r="R11" s="5">
        <f>Q11*1.03</f>
        <v>29.248259040000001</v>
      </c>
      <c r="S11" s="5">
        <f t="shared" ref="S11:X11" si="8">R11*1.03</f>
        <v>30.125706811200001</v>
      </c>
      <c r="T11" s="5">
        <f t="shared" si="8"/>
        <v>31.029478015536</v>
      </c>
      <c r="U11" s="5">
        <f t="shared" si="8"/>
        <v>31.960362356002079</v>
      </c>
      <c r="V11" s="5">
        <f t="shared" si="8"/>
        <v>32.91917322668214</v>
      </c>
      <c r="W11" s="5">
        <f t="shared" si="8"/>
        <v>33.906748423482604</v>
      </c>
      <c r="X11" s="5">
        <f t="shared" si="8"/>
        <v>34.923950876187085</v>
      </c>
    </row>
    <row r="12" spans="2:24" x14ac:dyDescent="0.3">
      <c r="B12" t="s">
        <v>12</v>
      </c>
      <c r="D12" s="5">
        <v>92.2</v>
      </c>
      <c r="F12" s="5">
        <v>75.8</v>
      </c>
      <c r="J12" s="5">
        <v>107</v>
      </c>
      <c r="K12" s="5">
        <v>93.7</v>
      </c>
      <c r="L12" s="5">
        <v>161.19999999999999</v>
      </c>
      <c r="M12" s="5">
        <v>111.7</v>
      </c>
      <c r="N12" s="5">
        <f>M12*1.2</f>
        <v>134.04</v>
      </c>
      <c r="O12" s="5">
        <f>N12*1.1</f>
        <v>147.44400000000002</v>
      </c>
      <c r="P12" s="5">
        <f>O12*1.05</f>
        <v>154.81620000000004</v>
      </c>
      <c r="Q12" s="5">
        <f>P12*1.04</f>
        <v>161.00884800000006</v>
      </c>
      <c r="R12" s="5">
        <f>Q12*1.03</f>
        <v>165.83911344000006</v>
      </c>
      <c r="S12" s="5">
        <f>R12*1.02</f>
        <v>169.15589570880007</v>
      </c>
      <c r="T12" s="5">
        <f t="shared" ref="T12:X12" si="9">S12*1.01</f>
        <v>170.84745466588808</v>
      </c>
      <c r="U12" s="5">
        <f t="shared" si="9"/>
        <v>172.55592921254697</v>
      </c>
      <c r="V12" s="5">
        <f t="shared" si="9"/>
        <v>174.28148850467244</v>
      </c>
      <c r="W12" s="5">
        <f t="shared" si="9"/>
        <v>176.02430338971917</v>
      </c>
      <c r="X12" s="5">
        <f t="shared" si="9"/>
        <v>177.78454642361635</v>
      </c>
    </row>
    <row r="13" spans="2:24" x14ac:dyDescent="0.3">
      <c r="B13" t="s">
        <v>13</v>
      </c>
      <c r="D13" s="5">
        <v>0</v>
      </c>
      <c r="F13" s="5">
        <v>0</v>
      </c>
      <c r="J13" s="5">
        <v>0</v>
      </c>
      <c r="K13" s="5">
        <v>0</v>
      </c>
      <c r="L13" s="5">
        <v>117.4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2:24" x14ac:dyDescent="0.3">
      <c r="B14" t="s">
        <v>14</v>
      </c>
      <c r="D14" s="5">
        <v>0</v>
      </c>
      <c r="F14" s="5">
        <v>0</v>
      </c>
      <c r="J14" s="5">
        <v>18.5</v>
      </c>
      <c r="K14" s="5">
        <v>35.5</v>
      </c>
      <c r="L14" s="5">
        <v>106.3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2:24" x14ac:dyDescent="0.3">
      <c r="B15" t="s">
        <v>15</v>
      </c>
      <c r="D15" s="5">
        <v>0</v>
      </c>
      <c r="F15" s="5">
        <v>0</v>
      </c>
      <c r="J15" s="5">
        <v>0</v>
      </c>
      <c r="K15" s="5">
        <v>13.7</v>
      </c>
      <c r="L15" s="5">
        <v>6.6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2:24" x14ac:dyDescent="0.3">
      <c r="B16" t="s">
        <v>16</v>
      </c>
      <c r="D16" s="5">
        <v>0</v>
      </c>
      <c r="F16" s="5">
        <v>0</v>
      </c>
      <c r="J16" s="5">
        <v>-3.2</v>
      </c>
      <c r="K16" s="5">
        <v>-0.8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2:137" x14ac:dyDescent="0.3">
      <c r="B17" t="s">
        <v>17</v>
      </c>
      <c r="D17" s="5">
        <f>SUM(D10:D16)</f>
        <v>101</v>
      </c>
      <c r="F17" s="5">
        <f>SUM(F10:F16)</f>
        <v>84.7</v>
      </c>
      <c r="J17" s="5">
        <f>SUM(J10:J16)</f>
        <v>161.70000000000002</v>
      </c>
      <c r="K17" s="5">
        <f>SUM(K10:K16)</f>
        <v>180.39999999999998</v>
      </c>
      <c r="L17" s="5">
        <f>SUM(L10:L16)</f>
        <v>419.2</v>
      </c>
      <c r="M17" s="5">
        <f>SUM(M10:M16)</f>
        <v>133.6</v>
      </c>
      <c r="N17" s="5">
        <f t="shared" ref="N17:X17" si="10">SUM(N10:N16)</f>
        <v>160.25212499999998</v>
      </c>
      <c r="O17" s="5">
        <f t="shared" si="10"/>
        <v>175.11988125000002</v>
      </c>
      <c r="P17" s="5">
        <f t="shared" si="10"/>
        <v>183.70868718750003</v>
      </c>
      <c r="Q17" s="5">
        <f t="shared" si="10"/>
        <v>190.91408882812505</v>
      </c>
      <c r="R17" s="5">
        <f t="shared" si="10"/>
        <v>196.52080166671882</v>
      </c>
      <c r="S17" s="5">
        <f t="shared" si="10"/>
        <v>200.64336024738287</v>
      </c>
      <c r="T17" s="5">
        <f t="shared" si="10"/>
        <v>203.17060252243775</v>
      </c>
      <c r="U17" s="5">
        <f t="shared" si="10"/>
        <v>205.74527791751206</v>
      </c>
      <c r="V17" s="5">
        <f t="shared" si="10"/>
        <v>208.36819876286941</v>
      </c>
      <c r="W17" s="5">
        <f t="shared" si="10"/>
        <v>211.04021199314087</v>
      </c>
      <c r="X17" s="5">
        <f t="shared" si="10"/>
        <v>213.76219947074557</v>
      </c>
    </row>
    <row r="18" spans="2:137" s="1" customFormat="1" x14ac:dyDescent="0.3">
      <c r="B18" s="1" t="s">
        <v>18</v>
      </c>
      <c r="D18" s="6">
        <f>D9-D17</f>
        <v>82.099999999999966</v>
      </c>
      <c r="F18" s="6">
        <f>F9-F17</f>
        <v>2.6999999999999744</v>
      </c>
      <c r="J18" s="6">
        <f>J9-J17</f>
        <v>51.900000000000006</v>
      </c>
      <c r="K18" s="6">
        <f>K9-K17</f>
        <v>-52.899999999999977</v>
      </c>
      <c r="L18" s="6">
        <f>L9-L17</f>
        <v>-245.3</v>
      </c>
      <c r="M18" s="6">
        <f>M9-M17</f>
        <v>20.200000000000017</v>
      </c>
      <c r="N18" s="6">
        <f t="shared" ref="N18:X18" si="11">N9-N17</f>
        <v>-16.213124999999991</v>
      </c>
      <c r="O18" s="6">
        <f t="shared" si="11"/>
        <v>-81.494531250000023</v>
      </c>
      <c r="P18" s="6">
        <f t="shared" si="11"/>
        <v>-94.764604687500025</v>
      </c>
      <c r="Q18" s="6">
        <f t="shared" si="11"/>
        <v>-106.41721045312505</v>
      </c>
      <c r="R18" s="6">
        <f t="shared" si="11"/>
        <v>-116.24876721046883</v>
      </c>
      <c r="S18" s="6">
        <f t="shared" si="11"/>
        <v>-124.3849275139454</v>
      </c>
      <c r="T18" s="6">
        <f t="shared" si="11"/>
        <v>-130.72509142567213</v>
      </c>
      <c r="U18" s="6">
        <f t="shared" si="11"/>
        <v>-136.92204237558474</v>
      </c>
      <c r="V18" s="6">
        <f t="shared" si="11"/>
        <v>-142.98612499803846</v>
      </c>
      <c r="W18" s="6">
        <f t="shared" si="11"/>
        <v>-148.92724191655148</v>
      </c>
      <c r="X18" s="6">
        <f t="shared" si="11"/>
        <v>-154.75487789798564</v>
      </c>
    </row>
    <row r="19" spans="2:137" x14ac:dyDescent="0.3">
      <c r="B19" t="s">
        <v>19</v>
      </c>
      <c r="D19" s="5">
        <v>21.4</v>
      </c>
      <c r="F19" s="5">
        <v>-20.399999999999999</v>
      </c>
      <c r="J19" s="5">
        <v>-3.4</v>
      </c>
      <c r="K19" s="5">
        <v>-2.5</v>
      </c>
      <c r="L19" s="5">
        <v>23.5</v>
      </c>
      <c r="M19" s="5">
        <v>-38.4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2:137" s="1" customFormat="1" x14ac:dyDescent="0.3">
      <c r="B20" s="1" t="s">
        <v>20</v>
      </c>
      <c r="D20" s="6">
        <f>D18-D19</f>
        <v>60.699999999999967</v>
      </c>
      <c r="F20" s="6">
        <f>F18-F19</f>
        <v>23.099999999999973</v>
      </c>
      <c r="J20" s="6">
        <f>J18-J19</f>
        <v>55.300000000000004</v>
      </c>
      <c r="K20" s="6">
        <f>K18-K19</f>
        <v>-50.399999999999977</v>
      </c>
      <c r="L20" s="6">
        <f>L18-L19</f>
        <v>-268.8</v>
      </c>
      <c r="M20" s="6">
        <f>M18-M19</f>
        <v>58.600000000000016</v>
      </c>
      <c r="N20" s="6">
        <f t="shared" ref="N20:X20" si="12">N18-N19</f>
        <v>-16.213124999999991</v>
      </c>
      <c r="O20" s="6">
        <f t="shared" si="12"/>
        <v>-81.494531250000023</v>
      </c>
      <c r="P20" s="6">
        <f t="shared" si="12"/>
        <v>-94.764604687500025</v>
      </c>
      <c r="Q20" s="6">
        <f t="shared" si="12"/>
        <v>-106.41721045312505</v>
      </c>
      <c r="R20" s="6">
        <f t="shared" si="12"/>
        <v>-116.24876721046883</v>
      </c>
      <c r="S20" s="6">
        <f t="shared" si="12"/>
        <v>-124.3849275139454</v>
      </c>
      <c r="T20" s="6">
        <f t="shared" si="12"/>
        <v>-130.72509142567213</v>
      </c>
      <c r="U20" s="6">
        <f t="shared" si="12"/>
        <v>-136.92204237558474</v>
      </c>
      <c r="V20" s="6">
        <f t="shared" si="12"/>
        <v>-142.98612499803846</v>
      </c>
      <c r="W20" s="6">
        <f t="shared" si="12"/>
        <v>-148.92724191655148</v>
      </c>
      <c r="X20" s="6">
        <f t="shared" si="12"/>
        <v>-154.75487789798564</v>
      </c>
    </row>
    <row r="21" spans="2:137" x14ac:dyDescent="0.3">
      <c r="B21" t="s">
        <v>21</v>
      </c>
      <c r="D21" s="5">
        <v>0.1</v>
      </c>
      <c r="F21" s="5">
        <v>1</v>
      </c>
      <c r="J21" s="5">
        <v>0.5</v>
      </c>
      <c r="K21" s="5">
        <v>-3.8</v>
      </c>
      <c r="L21" s="5">
        <v>-2.5</v>
      </c>
      <c r="M21" s="5">
        <v>6.1</v>
      </c>
      <c r="N21" s="5">
        <f t="shared" ref="N21:X21" si="13">N20*0.2</f>
        <v>-3.2426249999999985</v>
      </c>
      <c r="O21" s="5">
        <f t="shared" si="13"/>
        <v>-16.298906250000005</v>
      </c>
      <c r="P21" s="5">
        <f t="shared" si="13"/>
        <v>-18.952920937500007</v>
      </c>
      <c r="Q21" s="5">
        <f t="shared" si="13"/>
        <v>-21.283442090625012</v>
      </c>
      <c r="R21" s="5">
        <f t="shared" si="13"/>
        <v>-23.249753442093766</v>
      </c>
      <c r="S21" s="5">
        <f t="shared" si="13"/>
        <v>-24.876985502789083</v>
      </c>
      <c r="T21" s="5">
        <f t="shared" si="13"/>
        <v>-26.145018285134427</v>
      </c>
      <c r="U21" s="5">
        <f t="shared" si="13"/>
        <v>-27.384408475116949</v>
      </c>
      <c r="V21" s="5">
        <f t="shared" si="13"/>
        <v>-28.597224999607693</v>
      </c>
      <c r="W21" s="5">
        <f t="shared" si="13"/>
        <v>-29.785448383310296</v>
      </c>
      <c r="X21" s="5">
        <f t="shared" si="13"/>
        <v>-30.950975579597127</v>
      </c>
    </row>
    <row r="22" spans="2:137" x14ac:dyDescent="0.3">
      <c r="B22" t="s">
        <v>37</v>
      </c>
      <c r="D22" s="5">
        <v>-4.9000000000000004</v>
      </c>
      <c r="F22" s="5">
        <v>5.9</v>
      </c>
      <c r="J22" s="5"/>
      <c r="K22" s="5"/>
      <c r="L22" s="5"/>
      <c r="M22" s="5">
        <v>13.8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2:137" s="1" customFormat="1" x14ac:dyDescent="0.3">
      <c r="B23" s="1" t="s">
        <v>22</v>
      </c>
      <c r="D23" s="6">
        <f>D20-D21-D22</f>
        <v>65.499999999999972</v>
      </c>
      <c r="F23" s="6">
        <f>F20-F21-F22</f>
        <v>16.199999999999974</v>
      </c>
      <c r="J23" s="6">
        <f t="shared" ref="J23:M23" si="14">J20-J21-J22</f>
        <v>54.800000000000004</v>
      </c>
      <c r="K23" s="6">
        <f t="shared" si="14"/>
        <v>-46.59999999999998</v>
      </c>
      <c r="L23" s="6">
        <f t="shared" si="14"/>
        <v>-266.3</v>
      </c>
      <c r="M23" s="6">
        <f t="shared" si="14"/>
        <v>38.700000000000017</v>
      </c>
      <c r="N23" s="6">
        <f t="shared" ref="N23" si="15">N20-N21-N22</f>
        <v>-12.970499999999992</v>
      </c>
      <c r="O23" s="6">
        <f t="shared" ref="O23" si="16">O20-O21-O22</f>
        <v>-65.195625000000021</v>
      </c>
      <c r="P23" s="6">
        <f t="shared" ref="P23" si="17">P20-P21-P22</f>
        <v>-75.811683750000014</v>
      </c>
      <c r="Q23" s="6">
        <f t="shared" ref="Q23" si="18">Q20-Q21-Q22</f>
        <v>-85.133768362500035</v>
      </c>
      <c r="R23" s="6">
        <f t="shared" ref="R23" si="19">R20-R21-R22</f>
        <v>-92.999013768375065</v>
      </c>
      <c r="S23" s="6">
        <f t="shared" ref="S23" si="20">S20-S21-S22</f>
        <v>-99.507942011156317</v>
      </c>
      <c r="T23" s="6">
        <f t="shared" ref="T23" si="21">T20-T21-T22</f>
        <v>-104.58007314053771</v>
      </c>
      <c r="U23" s="6">
        <f t="shared" ref="U23" si="22">U20-U21-U22</f>
        <v>-109.5376339004678</v>
      </c>
      <c r="V23" s="6">
        <f t="shared" ref="V23" si="23">V20-V21-V22</f>
        <v>-114.38889999843077</v>
      </c>
      <c r="W23" s="6">
        <f t="shared" ref="W23" si="24">W20-W21-W22</f>
        <v>-119.14179353324118</v>
      </c>
      <c r="X23" s="6">
        <f t="shared" ref="X23" si="25">X20-X21-X22</f>
        <v>-123.80390231838851</v>
      </c>
      <c r="Y23" s="1">
        <f>X23*(1+$AA$29)</f>
        <v>-122.56586329520462</v>
      </c>
      <c r="Z23" s="1">
        <f t="shared" ref="Z23:CK23" si="26">Y23*(1+$AA$29)</f>
        <v>-121.34020466225257</v>
      </c>
      <c r="AA23" s="1">
        <f t="shared" si="26"/>
        <v>-120.12680261563004</v>
      </c>
      <c r="AB23" s="1">
        <f t="shared" si="26"/>
        <v>-118.92553458947374</v>
      </c>
      <c r="AC23" s="1">
        <f t="shared" si="26"/>
        <v>-117.73627924357901</v>
      </c>
      <c r="AD23" s="1">
        <f t="shared" si="26"/>
        <v>-116.55891645114322</v>
      </c>
      <c r="AE23" s="1">
        <f t="shared" si="26"/>
        <v>-115.39332728663179</v>
      </c>
      <c r="AF23" s="1">
        <f t="shared" si="26"/>
        <v>-114.23939401376546</v>
      </c>
      <c r="AG23" s="1">
        <f t="shared" si="26"/>
        <v>-113.09700007362781</v>
      </c>
      <c r="AH23" s="1">
        <f t="shared" si="26"/>
        <v>-111.96603007289153</v>
      </c>
      <c r="AI23" s="1">
        <f t="shared" si="26"/>
        <v>-110.84636977216262</v>
      </c>
      <c r="AJ23" s="1">
        <f t="shared" si="26"/>
        <v>-109.73790607444099</v>
      </c>
      <c r="AK23" s="1">
        <f t="shared" si="26"/>
        <v>-108.64052701369657</v>
      </c>
      <c r="AL23" s="1">
        <f t="shared" si="26"/>
        <v>-107.55412174355961</v>
      </c>
      <c r="AM23" s="1">
        <f t="shared" si="26"/>
        <v>-106.47858052612401</v>
      </c>
      <c r="AN23" s="1">
        <f t="shared" si="26"/>
        <v>-105.41379472086277</v>
      </c>
      <c r="AO23" s="1">
        <f t="shared" si="26"/>
        <v>-104.35965677365414</v>
      </c>
      <c r="AP23" s="1">
        <f t="shared" si="26"/>
        <v>-103.31606020591759</v>
      </c>
      <c r="AQ23" s="1">
        <f t="shared" si="26"/>
        <v>-102.28289960385841</v>
      </c>
      <c r="AR23" s="1">
        <f t="shared" si="26"/>
        <v>-101.26007060781983</v>
      </c>
      <c r="AS23" s="1">
        <f t="shared" si="26"/>
        <v>-100.24746990174162</v>
      </c>
      <c r="AT23" s="1">
        <f t="shared" si="26"/>
        <v>-99.244995202724212</v>
      </c>
      <c r="AU23" s="1">
        <f t="shared" si="26"/>
        <v>-98.252545250696969</v>
      </c>
      <c r="AV23" s="1">
        <f t="shared" si="26"/>
        <v>-97.270019798189992</v>
      </c>
      <c r="AW23" s="1">
        <f t="shared" si="26"/>
        <v>-96.297319600208084</v>
      </c>
      <c r="AX23" s="1">
        <f t="shared" si="26"/>
        <v>-95.334346404206002</v>
      </c>
      <c r="AY23" s="1">
        <f t="shared" si="26"/>
        <v>-94.381002940163938</v>
      </c>
      <c r="AZ23" s="1">
        <f t="shared" si="26"/>
        <v>-93.437192910762292</v>
      </c>
      <c r="BA23" s="1">
        <f t="shared" si="26"/>
        <v>-92.502820981654665</v>
      </c>
      <c r="BB23" s="1">
        <f t="shared" si="26"/>
        <v>-91.577792771838119</v>
      </c>
      <c r="BC23" s="1">
        <f t="shared" si="26"/>
        <v>-90.662014844119739</v>
      </c>
      <c r="BD23" s="1">
        <f t="shared" si="26"/>
        <v>-89.755394695678547</v>
      </c>
      <c r="BE23" s="1">
        <f t="shared" si="26"/>
        <v>-88.857840748721756</v>
      </c>
      <c r="BF23" s="1">
        <f t="shared" si="26"/>
        <v>-87.96926234123454</v>
      </c>
      <c r="BG23" s="1">
        <f t="shared" si="26"/>
        <v>-87.089569717822187</v>
      </c>
      <c r="BH23" s="1">
        <f t="shared" si="26"/>
        <v>-86.218674020643959</v>
      </c>
      <c r="BI23" s="1">
        <f t="shared" si="26"/>
        <v>-85.35648728043752</v>
      </c>
      <c r="BJ23" s="1">
        <f t="shared" si="26"/>
        <v>-84.50292240763315</v>
      </c>
      <c r="BK23" s="1">
        <f t="shared" si="26"/>
        <v>-83.657893183556823</v>
      </c>
      <c r="BL23" s="1">
        <f t="shared" si="26"/>
        <v>-82.821314251721248</v>
      </c>
      <c r="BM23" s="1">
        <f t="shared" si="26"/>
        <v>-81.993101109204034</v>
      </c>
      <c r="BN23" s="1">
        <f t="shared" si="26"/>
        <v>-81.173170098111996</v>
      </c>
      <c r="BO23" s="1">
        <f t="shared" si="26"/>
        <v>-80.361438397130868</v>
      </c>
      <c r="BP23" s="1">
        <f t="shared" si="26"/>
        <v>-79.557824013159561</v>
      </c>
      <c r="BQ23" s="1">
        <f t="shared" si="26"/>
        <v>-78.762245773027971</v>
      </c>
      <c r="BR23" s="1">
        <f t="shared" si="26"/>
        <v>-77.974623315297691</v>
      </c>
      <c r="BS23" s="1">
        <f t="shared" si="26"/>
        <v>-77.194877082144714</v>
      </c>
      <c r="BT23" s="1">
        <f t="shared" si="26"/>
        <v>-76.422928311323261</v>
      </c>
      <c r="BU23" s="1">
        <f t="shared" si="26"/>
        <v>-75.658699028210023</v>
      </c>
      <c r="BV23" s="1">
        <f t="shared" si="26"/>
        <v>-74.902112037927921</v>
      </c>
      <c r="BW23" s="1">
        <f t="shared" si="26"/>
        <v>-74.153090917548639</v>
      </c>
      <c r="BX23" s="1">
        <f t="shared" si="26"/>
        <v>-73.411560008373158</v>
      </c>
      <c r="BY23" s="1">
        <f t="shared" si="26"/>
        <v>-72.677444408289432</v>
      </c>
      <c r="BZ23" s="1">
        <f t="shared" si="26"/>
        <v>-71.95066996420654</v>
      </c>
      <c r="CA23" s="1">
        <f t="shared" si="26"/>
        <v>-71.231163264564472</v>
      </c>
      <c r="CB23" s="1">
        <f t="shared" si="26"/>
        <v>-70.518851631918821</v>
      </c>
      <c r="CC23" s="1">
        <f t="shared" si="26"/>
        <v>-69.813663115599638</v>
      </c>
      <c r="CD23" s="1">
        <f t="shared" si="26"/>
        <v>-69.115526484443635</v>
      </c>
      <c r="CE23" s="1">
        <f t="shared" si="26"/>
        <v>-68.424371219599195</v>
      </c>
      <c r="CF23" s="1">
        <f t="shared" si="26"/>
        <v>-67.740127507403201</v>
      </c>
      <c r="CG23" s="1">
        <f t="shared" si="26"/>
        <v>-67.062726232329169</v>
      </c>
      <c r="CH23" s="1">
        <f t="shared" si="26"/>
        <v>-66.392098970005875</v>
      </c>
      <c r="CI23" s="1">
        <f t="shared" si="26"/>
        <v>-65.728177980305816</v>
      </c>
      <c r="CJ23" s="1">
        <f t="shared" si="26"/>
        <v>-65.070896200502759</v>
      </c>
      <c r="CK23" s="1">
        <f t="shared" si="26"/>
        <v>-64.420187238497732</v>
      </c>
      <c r="CL23" s="1">
        <f t="shared" ref="CL23:EG23" si="27">CK23*(1+$AA$29)</f>
        <v>-63.775985366112756</v>
      </c>
      <c r="CM23" s="1">
        <f t="shared" si="27"/>
        <v>-63.138225512451626</v>
      </c>
      <c r="CN23" s="1">
        <f t="shared" si="27"/>
        <v>-62.506843257327112</v>
      </c>
      <c r="CO23" s="1">
        <f t="shared" si="27"/>
        <v>-61.88177482475384</v>
      </c>
      <c r="CP23" s="1">
        <f t="shared" si="27"/>
        <v>-61.262957076506304</v>
      </c>
      <c r="CQ23" s="1">
        <f t="shared" si="27"/>
        <v>-60.650327505741238</v>
      </c>
      <c r="CR23" s="1">
        <f t="shared" si="27"/>
        <v>-60.043824230683825</v>
      </c>
      <c r="CS23" s="1">
        <f t="shared" si="27"/>
        <v>-59.443385988376988</v>
      </c>
      <c r="CT23" s="1">
        <f t="shared" si="27"/>
        <v>-58.848952128493217</v>
      </c>
      <c r="CU23" s="1">
        <f t="shared" si="27"/>
        <v>-58.260462607208282</v>
      </c>
      <c r="CV23" s="1">
        <f t="shared" si="27"/>
        <v>-57.677857981136199</v>
      </c>
      <c r="CW23" s="1">
        <f t="shared" si="27"/>
        <v>-57.101079401324839</v>
      </c>
      <c r="CX23" s="1">
        <f t="shared" si="27"/>
        <v>-56.530068607311591</v>
      </c>
      <c r="CY23" s="1">
        <f t="shared" si="27"/>
        <v>-55.964767921238476</v>
      </c>
      <c r="CZ23" s="1">
        <f t="shared" si="27"/>
        <v>-55.405120242026094</v>
      </c>
      <c r="DA23" s="1">
        <f t="shared" si="27"/>
        <v>-54.851069039605832</v>
      </c>
      <c r="DB23" s="1">
        <f t="shared" si="27"/>
        <v>-54.302558349209775</v>
      </c>
      <c r="DC23" s="1">
        <f t="shared" si="27"/>
        <v>-53.75953276571768</v>
      </c>
      <c r="DD23" s="1">
        <f t="shared" si="27"/>
        <v>-53.2219374380605</v>
      </c>
      <c r="DE23" s="1">
        <f t="shared" si="27"/>
        <v>-52.689718063679898</v>
      </c>
      <c r="DF23" s="1">
        <f t="shared" si="27"/>
        <v>-52.162820883043096</v>
      </c>
      <c r="DG23" s="1">
        <f t="shared" si="27"/>
        <v>-51.641192674212668</v>
      </c>
      <c r="DH23" s="1">
        <f t="shared" si="27"/>
        <v>-51.124780747470538</v>
      </c>
      <c r="DI23" s="1">
        <f t="shared" si="27"/>
        <v>-50.613532939995835</v>
      </c>
      <c r="DJ23" s="1">
        <f t="shared" si="27"/>
        <v>-50.107397610595875</v>
      </c>
      <c r="DK23" s="1">
        <f t="shared" si="27"/>
        <v>-49.606323634489918</v>
      </c>
      <c r="DL23" s="1">
        <f t="shared" si="27"/>
        <v>-49.110260398145016</v>
      </c>
      <c r="DM23" s="1">
        <f t="shared" si="27"/>
        <v>-48.619157794163563</v>
      </c>
      <c r="DN23" s="1">
        <f t="shared" si="27"/>
        <v>-48.132966216221924</v>
      </c>
      <c r="DO23" s="1">
        <f t="shared" si="27"/>
        <v>-47.651636554059706</v>
      </c>
      <c r="DP23" s="1">
        <f t="shared" si="27"/>
        <v>-47.175120188519109</v>
      </c>
      <c r="DQ23" s="1">
        <f t="shared" si="27"/>
        <v>-46.703368986633919</v>
      </c>
      <c r="DR23" s="1">
        <f t="shared" si="27"/>
        <v>-46.236335296767578</v>
      </c>
      <c r="DS23" s="1">
        <f t="shared" si="27"/>
        <v>-45.7739719437999</v>
      </c>
      <c r="DT23" s="1">
        <f t="shared" si="27"/>
        <v>-45.316232224361897</v>
      </c>
      <c r="DU23" s="1">
        <f t="shared" si="27"/>
        <v>-44.863069902118276</v>
      </c>
      <c r="DV23" s="1">
        <f t="shared" si="27"/>
        <v>-44.414439203097096</v>
      </c>
      <c r="DW23" s="1">
        <f t="shared" si="27"/>
        <v>-43.970294811066125</v>
      </c>
      <c r="DX23" s="1">
        <f t="shared" si="27"/>
        <v>-43.530591862955461</v>
      </c>
      <c r="DY23" s="1">
        <f t="shared" si="27"/>
        <v>-43.095285944325909</v>
      </c>
      <c r="DZ23" s="1">
        <f t="shared" si="27"/>
        <v>-42.664333084882649</v>
      </c>
      <c r="EA23" s="1">
        <f t="shared" si="27"/>
        <v>-42.237689754033823</v>
      </c>
      <c r="EB23" s="1">
        <f t="shared" si="27"/>
        <v>-41.815312856493485</v>
      </c>
      <c r="EC23" s="1">
        <f t="shared" si="27"/>
        <v>-41.397159727928546</v>
      </c>
      <c r="ED23" s="1">
        <f t="shared" si="27"/>
        <v>-40.98318813064926</v>
      </c>
      <c r="EE23" s="1">
        <f t="shared" si="27"/>
        <v>-40.573356249342766</v>
      </c>
      <c r="EF23" s="1">
        <f t="shared" si="27"/>
        <v>-40.167622686849334</v>
      </c>
      <c r="EG23" s="1">
        <f t="shared" si="27"/>
        <v>-39.765946459980839</v>
      </c>
    </row>
    <row r="24" spans="2:137" x14ac:dyDescent="0.3">
      <c r="B24" t="s">
        <v>2</v>
      </c>
      <c r="D24" s="5">
        <v>199.5</v>
      </c>
      <c r="F24" s="5">
        <v>199.5</v>
      </c>
      <c r="J24" s="5">
        <v>199.5</v>
      </c>
      <c r="K24" s="5">
        <v>199.5</v>
      </c>
      <c r="L24" s="5">
        <v>199.5</v>
      </c>
      <c r="M24" s="5">
        <f t="shared" ref="M24:X24" si="28">9.7</f>
        <v>9.6999999999999993</v>
      </c>
      <c r="N24" s="5">
        <f t="shared" si="28"/>
        <v>9.6999999999999993</v>
      </c>
      <c r="O24" s="5">
        <f t="shared" si="28"/>
        <v>9.6999999999999993</v>
      </c>
      <c r="P24" s="5">
        <f t="shared" si="28"/>
        <v>9.6999999999999993</v>
      </c>
      <c r="Q24" s="5">
        <f t="shared" si="28"/>
        <v>9.6999999999999993</v>
      </c>
      <c r="R24" s="5">
        <f t="shared" si="28"/>
        <v>9.6999999999999993</v>
      </c>
      <c r="S24" s="5">
        <f t="shared" si="28"/>
        <v>9.6999999999999993</v>
      </c>
      <c r="T24" s="5">
        <f t="shared" si="28"/>
        <v>9.6999999999999993</v>
      </c>
      <c r="U24" s="5">
        <f t="shared" si="28"/>
        <v>9.6999999999999993</v>
      </c>
      <c r="V24" s="5">
        <f t="shared" si="28"/>
        <v>9.6999999999999993</v>
      </c>
      <c r="W24" s="5">
        <f t="shared" si="28"/>
        <v>9.6999999999999993</v>
      </c>
      <c r="X24" s="5">
        <f t="shared" si="28"/>
        <v>9.6999999999999993</v>
      </c>
    </row>
    <row r="25" spans="2:137" x14ac:dyDescent="0.3">
      <c r="B25" t="s">
        <v>23</v>
      </c>
      <c r="D25" s="9">
        <f>D23/D24</f>
        <v>0.3283208020050124</v>
      </c>
      <c r="F25" s="9">
        <f>F23/F24</f>
        <v>8.120300751879686E-2</v>
      </c>
      <c r="J25" s="9">
        <f t="shared" ref="J25:M25" si="29">J23/J24</f>
        <v>0.27468671679197998</v>
      </c>
      <c r="K25" s="9">
        <f t="shared" si="29"/>
        <v>-0.23358395989974928</v>
      </c>
      <c r="L25" s="9">
        <f t="shared" si="29"/>
        <v>-1.3348370927318296</v>
      </c>
      <c r="M25" s="9">
        <f t="shared" si="29"/>
        <v>3.9896907216494868</v>
      </c>
      <c r="N25" s="9">
        <f t="shared" ref="N25" si="30">N23/N24</f>
        <v>-1.3371649484536074</v>
      </c>
      <c r="O25" s="9">
        <f t="shared" ref="O25" si="31">O23/O24</f>
        <v>-6.7211984536082499</v>
      </c>
      <c r="P25" s="9">
        <f t="shared" ref="P25" si="32">P23/P24</f>
        <v>-7.815637500000002</v>
      </c>
      <c r="Q25" s="9">
        <f t="shared" ref="Q25" si="33">Q23/Q24</f>
        <v>-8.7766771507731995</v>
      </c>
      <c r="R25" s="9">
        <f t="shared" ref="R25" si="34">R23/R24</f>
        <v>-9.5875271926159868</v>
      </c>
      <c r="S25" s="9">
        <f t="shared" ref="S25" si="35">S23/S24</f>
        <v>-10.258550722799621</v>
      </c>
      <c r="T25" s="9">
        <f t="shared" ref="T25" si="36">T23/T24</f>
        <v>-10.781450839230692</v>
      </c>
      <c r="U25" s="9">
        <f t="shared" ref="U25" si="37">U23/U24</f>
        <v>-11.292539577367815</v>
      </c>
      <c r="V25" s="9">
        <f t="shared" ref="V25" si="38">V23/V24</f>
        <v>-11.792670102931009</v>
      </c>
      <c r="W25" s="9">
        <f t="shared" ref="W25" si="39">W23/W24</f>
        <v>-12.282659127138267</v>
      </c>
      <c r="X25" s="9">
        <f t="shared" ref="X25" si="40">X23/X24</f>
        <v>-12.763288898802941</v>
      </c>
    </row>
    <row r="27" spans="2:137" x14ac:dyDescent="0.3">
      <c r="B27" t="s">
        <v>38</v>
      </c>
      <c r="C27" s="10"/>
      <c r="D27" s="10"/>
      <c r="E27" s="10"/>
      <c r="F27" s="10">
        <f>F3/D3-1</f>
        <v>0.1446590461174615</v>
      </c>
      <c r="K27" s="10">
        <f>K3/J3-1</f>
        <v>0.64029304029304024</v>
      </c>
      <c r="L27" s="10">
        <f t="shared" ref="L27:X27" si="41">L3/K3-1</f>
        <v>0.27266636891469398</v>
      </c>
      <c r="M27" s="10">
        <f t="shared" si="41"/>
        <v>-4.9833304088436559E-2</v>
      </c>
      <c r="N27" s="10">
        <f t="shared" si="41"/>
        <v>-5.0000000000000044E-2</v>
      </c>
      <c r="O27" s="10">
        <f t="shared" si="41"/>
        <v>-0.35</v>
      </c>
      <c r="P27" s="10">
        <f t="shared" si="41"/>
        <v>-5.0000000000000044E-2</v>
      </c>
      <c r="Q27" s="10">
        <f t="shared" si="41"/>
        <v>-5.0000000000000155E-2</v>
      </c>
      <c r="R27" s="10">
        <f t="shared" si="41"/>
        <v>-4.9999999999999933E-2</v>
      </c>
      <c r="S27" s="10">
        <f t="shared" si="41"/>
        <v>-5.0000000000000044E-2</v>
      </c>
      <c r="T27" s="10">
        <f t="shared" si="41"/>
        <v>-5.0000000000000044E-2</v>
      </c>
      <c r="U27" s="10">
        <f t="shared" si="41"/>
        <v>-5.0000000000000044E-2</v>
      </c>
      <c r="V27" s="10">
        <f t="shared" si="41"/>
        <v>-5.0000000000000044E-2</v>
      </c>
      <c r="W27" s="10">
        <f t="shared" si="41"/>
        <v>-5.0000000000000044E-2</v>
      </c>
      <c r="X27" s="10">
        <f t="shared" si="41"/>
        <v>-5.0000000000000155E-2</v>
      </c>
    </row>
    <row r="28" spans="2:137" x14ac:dyDescent="0.3">
      <c r="B28" t="s">
        <v>39</v>
      </c>
      <c r="C28" s="10" t="e">
        <f t="shared" ref="C28:E28" si="42">C9/C5</f>
        <v>#DIV/0!</v>
      </c>
      <c r="D28" s="10">
        <f t="shared" si="42"/>
        <v>0.69461305007587248</v>
      </c>
      <c r="E28" s="10" t="e">
        <f t="shared" si="42"/>
        <v>#DIV/0!</v>
      </c>
      <c r="F28" s="10">
        <f>F9/F5</f>
        <v>0.30096418732782365</v>
      </c>
      <c r="K28" s="10">
        <f>K9/K5</f>
        <v>0.21757679180887371</v>
      </c>
      <c r="L28" s="10">
        <f t="shared" ref="L28:X28" si="43">L9/L5</f>
        <v>0.29982758620689653</v>
      </c>
      <c r="M28" s="10">
        <f t="shared" si="43"/>
        <v>0.28402585410895664</v>
      </c>
      <c r="N28" s="10">
        <f t="shared" si="43"/>
        <v>0.28000000000000003</v>
      </c>
      <c r="O28" s="10">
        <f t="shared" si="43"/>
        <v>0.28000000000000003</v>
      </c>
      <c r="P28" s="10">
        <f t="shared" si="43"/>
        <v>0.28000000000000008</v>
      </c>
      <c r="Q28" s="10">
        <f t="shared" si="43"/>
        <v>0.28000000000000003</v>
      </c>
      <c r="R28" s="10">
        <f t="shared" si="43"/>
        <v>0.28000000000000003</v>
      </c>
      <c r="S28" s="10">
        <f t="shared" si="43"/>
        <v>0.27999999999999997</v>
      </c>
      <c r="T28" s="10">
        <f t="shared" si="43"/>
        <v>0.28000000000000008</v>
      </c>
      <c r="U28" s="10">
        <f t="shared" si="43"/>
        <v>0.28000000000000003</v>
      </c>
      <c r="V28" s="10">
        <f t="shared" si="43"/>
        <v>0.28000000000000003</v>
      </c>
      <c r="W28" s="10">
        <f t="shared" si="43"/>
        <v>0.27999999999999997</v>
      </c>
      <c r="X28" s="10">
        <f t="shared" si="43"/>
        <v>0.28000000000000008</v>
      </c>
    </row>
    <row r="29" spans="2:137" x14ac:dyDescent="0.3">
      <c r="B29" t="s">
        <v>40</v>
      </c>
      <c r="C29" s="10" t="e">
        <f t="shared" ref="C29:E29" si="44">C10/C5</f>
        <v>#DIV/0!</v>
      </c>
      <c r="D29" s="10">
        <f t="shared" si="44"/>
        <v>4.552352048558422E-3</v>
      </c>
      <c r="E29" s="10" t="e">
        <f t="shared" si="44"/>
        <v>#DIV/0!</v>
      </c>
      <c r="F29" s="10">
        <f>F10/F5</f>
        <v>3.7878787878787884E-3</v>
      </c>
      <c r="K29" s="10">
        <f>K10/K5</f>
        <v>6.4846416382252558E-3</v>
      </c>
      <c r="L29" s="10">
        <f t="shared" ref="L29:X29" si="45">L10/L5</f>
        <v>4.8275862068965511E-3</v>
      </c>
      <c r="M29" s="10">
        <f t="shared" si="45"/>
        <v>4.0627885503231771E-3</v>
      </c>
      <c r="N29" s="10">
        <f t="shared" si="45"/>
        <v>5.0000000000000001E-3</v>
      </c>
      <c r="O29" s="10">
        <f t="shared" si="45"/>
        <v>5.0000000000000001E-3</v>
      </c>
      <c r="P29" s="10">
        <f t="shared" si="45"/>
        <v>5.0000000000000001E-3</v>
      </c>
      <c r="Q29" s="10">
        <f t="shared" si="45"/>
        <v>5.0000000000000001E-3</v>
      </c>
      <c r="R29" s="10">
        <f t="shared" si="45"/>
        <v>5.0000000000000001E-3</v>
      </c>
      <c r="S29" s="10">
        <f t="shared" si="45"/>
        <v>5.0000000000000001E-3</v>
      </c>
      <c r="T29" s="10">
        <f t="shared" si="45"/>
        <v>5.0000000000000001E-3</v>
      </c>
      <c r="U29" s="10">
        <f t="shared" si="45"/>
        <v>5.0000000000000001E-3</v>
      </c>
      <c r="V29" s="10">
        <f t="shared" si="45"/>
        <v>5.0000000000000001E-3</v>
      </c>
      <c r="W29" s="10">
        <f t="shared" si="45"/>
        <v>5.0000000000000001E-3</v>
      </c>
      <c r="X29" s="10">
        <f t="shared" si="45"/>
        <v>5.0000000000000001E-3</v>
      </c>
      <c r="Z29" t="s">
        <v>45</v>
      </c>
      <c r="AA29" s="10">
        <v>-0.01</v>
      </c>
    </row>
    <row r="30" spans="2:137" x14ac:dyDescent="0.3">
      <c r="B30" t="s">
        <v>41</v>
      </c>
      <c r="C30" s="10"/>
      <c r="D30" s="10"/>
      <c r="E30" s="10"/>
      <c r="F30" s="10">
        <f>F11/D11-1</f>
        <v>2.6315789473684292E-2</v>
      </c>
      <c r="K30" s="10">
        <f>K11/J11-1</f>
        <v>1.4705882352941124E-2</v>
      </c>
      <c r="L30" s="10">
        <f t="shared" ref="L30:X30" si="46">L11/K11-1</f>
        <v>-0.27826086956521745</v>
      </c>
      <c r="M30" s="10">
        <f t="shared" si="46"/>
        <v>-0.20883534136546178</v>
      </c>
      <c r="N30" s="10">
        <f t="shared" si="46"/>
        <v>0.19999999999999996</v>
      </c>
      <c r="O30" s="10">
        <f t="shared" si="46"/>
        <v>0.10000000000000009</v>
      </c>
      <c r="P30" s="10">
        <f t="shared" si="46"/>
        <v>5.0000000000000044E-2</v>
      </c>
      <c r="Q30" s="10">
        <f t="shared" si="46"/>
        <v>4.0000000000000036E-2</v>
      </c>
      <c r="R30" s="10">
        <f t="shared" si="46"/>
        <v>3.0000000000000027E-2</v>
      </c>
      <c r="S30" s="10">
        <f t="shared" si="46"/>
        <v>3.0000000000000027E-2</v>
      </c>
      <c r="T30" s="10">
        <f t="shared" si="46"/>
        <v>3.0000000000000027E-2</v>
      </c>
      <c r="U30" s="10">
        <f t="shared" si="46"/>
        <v>3.0000000000000027E-2</v>
      </c>
      <c r="V30" s="10">
        <f t="shared" si="46"/>
        <v>3.0000000000000027E-2</v>
      </c>
      <c r="W30" s="10">
        <f t="shared" si="46"/>
        <v>3.0000000000000027E-2</v>
      </c>
      <c r="X30" s="10">
        <f t="shared" si="46"/>
        <v>3.0000000000000027E-2</v>
      </c>
      <c r="Z30" t="s">
        <v>46</v>
      </c>
      <c r="AA30" s="10">
        <v>0.15</v>
      </c>
    </row>
    <row r="31" spans="2:137" x14ac:dyDescent="0.3">
      <c r="B31" t="s">
        <v>42</v>
      </c>
      <c r="C31" s="10"/>
      <c r="D31" s="10"/>
      <c r="E31" s="10"/>
      <c r="F31" s="10">
        <f>F12/D12-1</f>
        <v>-0.1778741865509762</v>
      </c>
      <c r="K31" s="10">
        <f>K12/J12-1</f>
        <v>-0.12429906542056068</v>
      </c>
      <c r="L31" s="10">
        <f t="shared" ref="L31:X31" si="47">L12/K12-1</f>
        <v>0.72038420490928479</v>
      </c>
      <c r="M31" s="10">
        <f t="shared" si="47"/>
        <v>-0.30707196029776673</v>
      </c>
      <c r="N31" s="10">
        <f t="shared" si="47"/>
        <v>0.19999999999999996</v>
      </c>
      <c r="O31" s="10">
        <f t="shared" si="47"/>
        <v>0.10000000000000009</v>
      </c>
      <c r="P31" s="10">
        <f t="shared" si="47"/>
        <v>5.0000000000000044E-2</v>
      </c>
      <c r="Q31" s="10">
        <f t="shared" si="47"/>
        <v>4.0000000000000036E-2</v>
      </c>
      <c r="R31" s="10">
        <f t="shared" si="47"/>
        <v>3.0000000000000027E-2</v>
      </c>
      <c r="S31" s="10">
        <f t="shared" si="47"/>
        <v>2.0000000000000018E-2</v>
      </c>
      <c r="T31" s="10">
        <f t="shared" si="47"/>
        <v>1.0000000000000009E-2</v>
      </c>
      <c r="U31" s="10">
        <f t="shared" si="47"/>
        <v>1.0000000000000009E-2</v>
      </c>
      <c r="V31" s="10">
        <f t="shared" si="47"/>
        <v>1.0000000000000009E-2</v>
      </c>
      <c r="W31" s="10">
        <f t="shared" si="47"/>
        <v>1.0000000000000009E-2</v>
      </c>
      <c r="X31" s="10">
        <f t="shared" si="47"/>
        <v>1.0000000000000009E-2</v>
      </c>
      <c r="Z31" t="s">
        <v>47</v>
      </c>
      <c r="AA31" s="5">
        <f>NPV(AA30,N23:EH23)</f>
        <v>-576.71110262380648</v>
      </c>
    </row>
    <row r="32" spans="2:137" x14ac:dyDescent="0.3">
      <c r="B32" t="s">
        <v>43</v>
      </c>
      <c r="C32" s="10" t="e">
        <f t="shared" ref="C32:E32" si="48">C18/C5</f>
        <v>#DIV/0!</v>
      </c>
      <c r="D32" s="10">
        <f t="shared" si="48"/>
        <v>0.31145675265553863</v>
      </c>
      <c r="E32" s="10" t="e">
        <f t="shared" si="48"/>
        <v>#DIV/0!</v>
      </c>
      <c r="F32" s="10">
        <f>F18/F5</f>
        <v>9.2975206611569366E-3</v>
      </c>
      <c r="K32" s="10">
        <f>K18/K5</f>
        <v>-9.0273037542662082E-2</v>
      </c>
      <c r="L32" s="10">
        <f t="shared" ref="L32:X32" si="49">L18/L5</f>
        <v>-0.42293103448275865</v>
      </c>
      <c r="M32" s="10">
        <f t="shared" si="49"/>
        <v>3.7303785780240108E-2</v>
      </c>
      <c r="N32" s="10">
        <f t="shared" si="49"/>
        <v>-3.1516984983233694E-2</v>
      </c>
      <c r="O32" s="10">
        <f t="shared" si="49"/>
        <v>-0.24372105151008791</v>
      </c>
      <c r="P32" s="10">
        <f t="shared" si="49"/>
        <v>-0.29832326745851823</v>
      </c>
      <c r="Q32" s="10">
        <f t="shared" si="49"/>
        <v>-0.35263810332300954</v>
      </c>
      <c r="R32" s="10">
        <f t="shared" si="49"/>
        <v>-0.40549183833968411</v>
      </c>
      <c r="S32" s="10">
        <f t="shared" si="49"/>
        <v>-0.45670725787986949</v>
      </c>
      <c r="T32" s="10">
        <f t="shared" si="49"/>
        <v>-0.50524904918259839</v>
      </c>
      <c r="U32" s="10">
        <f t="shared" si="49"/>
        <v>-0.55705273899550978</v>
      </c>
      <c r="V32" s="10">
        <f t="shared" si="49"/>
        <v>-0.61234085574364605</v>
      </c>
      <c r="W32" s="10">
        <f t="shared" si="49"/>
        <v>-0.6713513729131938</v>
      </c>
      <c r="X32" s="10">
        <f t="shared" si="49"/>
        <v>-0.73433880163507415</v>
      </c>
      <c r="Z32" t="s">
        <v>48</v>
      </c>
      <c r="AA32" s="5">
        <f>AA31/Main!D13</f>
        <v>-79.327524432435553</v>
      </c>
    </row>
    <row r="33" spans="2:27" x14ac:dyDescent="0.3">
      <c r="B33" t="s">
        <v>21</v>
      </c>
      <c r="C33" s="10" t="e">
        <f t="shared" ref="C33:E33" si="50">C21/C20</f>
        <v>#DIV/0!</v>
      </c>
      <c r="D33" s="10">
        <f t="shared" si="50"/>
        <v>1.6474464579901162E-3</v>
      </c>
      <c r="E33" s="10" t="e">
        <f t="shared" si="50"/>
        <v>#DIV/0!</v>
      </c>
      <c r="F33" s="10">
        <f>F21/F20</f>
        <v>4.3290043290043344E-2</v>
      </c>
      <c r="K33" s="10">
        <f>K21/K20</f>
        <v>7.539682539682542E-2</v>
      </c>
      <c r="L33" s="10">
        <f t="shared" ref="L33:X33" si="51">L21/L20</f>
        <v>9.300595238095238E-3</v>
      </c>
      <c r="M33" s="10">
        <f t="shared" si="51"/>
        <v>0.10409556313993171</v>
      </c>
      <c r="N33" s="10">
        <f t="shared" si="51"/>
        <v>0.2</v>
      </c>
      <c r="O33" s="10">
        <f t="shared" si="51"/>
        <v>0.2</v>
      </c>
      <c r="P33" s="10">
        <f t="shared" si="51"/>
        <v>0.2</v>
      </c>
      <c r="Q33" s="10">
        <f t="shared" si="51"/>
        <v>0.2</v>
      </c>
      <c r="R33" s="10">
        <f t="shared" si="51"/>
        <v>0.2</v>
      </c>
      <c r="S33" s="10">
        <f t="shared" si="51"/>
        <v>0.2</v>
      </c>
      <c r="T33" s="10">
        <f t="shared" si="51"/>
        <v>0.2</v>
      </c>
      <c r="U33" s="10">
        <f t="shared" si="51"/>
        <v>0.2</v>
      </c>
      <c r="V33" s="10">
        <f t="shared" si="51"/>
        <v>0.2</v>
      </c>
      <c r="W33" s="10">
        <f t="shared" si="51"/>
        <v>0.2</v>
      </c>
      <c r="X33" s="10">
        <f t="shared" si="51"/>
        <v>0.2</v>
      </c>
      <c r="Z33" t="s">
        <v>49</v>
      </c>
      <c r="AA33" s="5">
        <f>Main!D10</f>
        <v>140.4951856946355</v>
      </c>
    </row>
    <row r="34" spans="2:27" x14ac:dyDescent="0.3">
      <c r="B34" t="s">
        <v>37</v>
      </c>
      <c r="C34" s="10" t="e">
        <f t="shared" ref="C34:E34" si="52">C22/C20</f>
        <v>#DIV/0!</v>
      </c>
      <c r="D34" s="10">
        <f t="shared" si="52"/>
        <v>-8.07248764415157E-2</v>
      </c>
      <c r="E34" s="10" t="e">
        <f t="shared" si="52"/>
        <v>#DIV/0!</v>
      </c>
      <c r="F34" s="10">
        <f>F22/F20</f>
        <v>0.2554112554112557</v>
      </c>
      <c r="K34" s="10">
        <f>K22/K20</f>
        <v>0</v>
      </c>
      <c r="L34" s="10">
        <f t="shared" ref="L34:X34" si="53">L22/L20</f>
        <v>0</v>
      </c>
      <c r="M34" s="10">
        <f t="shared" si="53"/>
        <v>0.23549488054607504</v>
      </c>
      <c r="N34" s="10">
        <f t="shared" si="53"/>
        <v>0</v>
      </c>
      <c r="O34" s="10">
        <f t="shared" si="53"/>
        <v>0</v>
      </c>
      <c r="P34" s="10">
        <f t="shared" si="53"/>
        <v>0</v>
      </c>
      <c r="Q34" s="10">
        <f t="shared" si="53"/>
        <v>0</v>
      </c>
      <c r="R34" s="10">
        <f t="shared" si="53"/>
        <v>0</v>
      </c>
      <c r="S34" s="10">
        <f t="shared" si="53"/>
        <v>0</v>
      </c>
      <c r="T34" s="10">
        <f t="shared" si="53"/>
        <v>0</v>
      </c>
      <c r="U34" s="10">
        <f t="shared" si="53"/>
        <v>0</v>
      </c>
      <c r="V34" s="10">
        <f t="shared" si="53"/>
        <v>0</v>
      </c>
      <c r="W34" s="10">
        <f t="shared" si="53"/>
        <v>0</v>
      </c>
      <c r="X34" s="10">
        <f t="shared" si="53"/>
        <v>0</v>
      </c>
      <c r="Z34" t="s">
        <v>50</v>
      </c>
      <c r="AA34" s="5">
        <f>AA32+AA33</f>
        <v>61.167661262199942</v>
      </c>
    </row>
    <row r="35" spans="2:27" x14ac:dyDescent="0.3">
      <c r="B35" t="s">
        <v>44</v>
      </c>
      <c r="C35" s="10" t="e">
        <f t="shared" ref="C35:E35" si="54">C23/C5</f>
        <v>#DIV/0!</v>
      </c>
      <c r="D35" s="10">
        <f t="shared" si="54"/>
        <v>0.24848254931714711</v>
      </c>
      <c r="E35" s="10" t="e">
        <f t="shared" si="54"/>
        <v>#DIV/0!</v>
      </c>
      <c r="F35" s="10">
        <f>F23/F5</f>
        <v>5.5785123966942067E-2</v>
      </c>
      <c r="K35" s="10">
        <f>K23/K5</f>
        <v>-7.9522184300341262E-2</v>
      </c>
      <c r="L35" s="10">
        <f t="shared" ref="L35:X35" si="55">L23/L5</f>
        <v>-0.4591379310344828</v>
      </c>
      <c r="M35" s="10">
        <f t="shared" si="55"/>
        <v>7.1468144044321363E-2</v>
      </c>
      <c r="N35" s="10">
        <f t="shared" si="55"/>
        <v>-2.5213587986586954E-2</v>
      </c>
      <c r="O35" s="10">
        <f t="shared" si="55"/>
        <v>-0.19497684120807032</v>
      </c>
      <c r="P35" s="10">
        <f t="shared" si="55"/>
        <v>-0.23865861396681456</v>
      </c>
      <c r="Q35" s="10">
        <f t="shared" si="55"/>
        <v>-0.2821104826584076</v>
      </c>
      <c r="R35" s="10">
        <f t="shared" si="55"/>
        <v>-0.32439347067174729</v>
      </c>
      <c r="S35" s="10">
        <f t="shared" si="55"/>
        <v>-0.36536580630389559</v>
      </c>
      <c r="T35" s="10">
        <f t="shared" si="55"/>
        <v>-0.40419923934607871</v>
      </c>
      <c r="U35" s="10">
        <f t="shared" si="55"/>
        <v>-0.44564219119640786</v>
      </c>
      <c r="V35" s="10">
        <f t="shared" si="55"/>
        <v>-0.48987268459491684</v>
      </c>
      <c r="W35" s="10">
        <f t="shared" si="55"/>
        <v>-0.53708109833055506</v>
      </c>
      <c r="X35" s="10">
        <f t="shared" si="55"/>
        <v>-0.58747104130805938</v>
      </c>
      <c r="Z35" t="s">
        <v>51</v>
      </c>
      <c r="AA35" s="2">
        <f>AA34/X24</f>
        <v>6.3059444600206129</v>
      </c>
    </row>
    <row r="36" spans="2:27" x14ac:dyDescent="0.3">
      <c r="Z36" t="s">
        <v>52</v>
      </c>
      <c r="AA36" s="2">
        <f>Main!D3</f>
        <v>4.4400000000000004</v>
      </c>
    </row>
    <row r="37" spans="2:27" x14ac:dyDescent="0.3">
      <c r="Z37" s="1" t="s">
        <v>53</v>
      </c>
      <c r="AA37" s="11">
        <f>AA35/AA36-1</f>
        <v>0.42025776126590375</v>
      </c>
    </row>
    <row r="38" spans="2:27" x14ac:dyDescent="0.3">
      <c r="Z38" t="s">
        <v>54</v>
      </c>
      <c r="AA38" s="8" t="s">
        <v>61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2024-12-11T11:39:00Z</dcterms:created>
  <dcterms:modified xsi:type="dcterms:W3CDTF">2025-05-04T10:29:52Z</dcterms:modified>
</cp:coreProperties>
</file>