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97304FC-6695-4F0A-A390-F31A7A017CCB}" xr6:coauthVersionLast="47" xr6:coauthVersionMax="47" xr10:uidLastSave="{00000000-0000-0000-0000-000000000000}"/>
  <bookViews>
    <workbookView xWindow="-108" yWindow="-108" windowWidth="23256" windowHeight="12576" activeTab="1" xr2:uid="{61E89E8F-0FF3-456B-A54B-AD32D91647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0" i="2" l="1"/>
  <c r="AW10" i="2"/>
  <c r="BC12" i="2"/>
  <c r="BD12" i="2" s="1"/>
  <c r="BE12" i="2" s="1"/>
  <c r="BF12" i="2" s="1"/>
  <c r="BB12" i="2"/>
  <c r="AZ12" i="2"/>
  <c r="AY12" i="2"/>
  <c r="AX12" i="2"/>
  <c r="AW12" i="2"/>
  <c r="AL12" i="2"/>
  <c r="AL30" i="2" s="1"/>
  <c r="AL10" i="2"/>
  <c r="AL28" i="2" s="1"/>
  <c r="AK21" i="2"/>
  <c r="BF18" i="2"/>
  <c r="BE18" i="2"/>
  <c r="BD18" i="2"/>
  <c r="BC18" i="2"/>
  <c r="BB18" i="2"/>
  <c r="BA18" i="2"/>
  <c r="AZ18" i="2"/>
  <c r="AY18" i="2"/>
  <c r="AX18" i="2"/>
  <c r="AW18" i="2"/>
  <c r="AV18" i="2"/>
  <c r="AL18" i="2"/>
  <c r="AK18" i="2"/>
  <c r="D4" i="1"/>
  <c r="AV4" i="2"/>
  <c r="AW4" i="2" s="1"/>
  <c r="AX4" i="2" s="1"/>
  <c r="D7" i="1"/>
  <c r="D6" i="1"/>
  <c r="AV14" i="2"/>
  <c r="AK30" i="2"/>
  <c r="AJ30" i="2"/>
  <c r="AL11" i="2"/>
  <c r="AL29" i="2" s="1"/>
  <c r="AK28" i="2"/>
  <c r="AL9" i="2"/>
  <c r="AL26" i="2" s="1"/>
  <c r="AL8" i="2"/>
  <c r="AL7" i="2"/>
  <c r="AL25" i="2" s="1"/>
  <c r="AK25" i="2"/>
  <c r="AJ25" i="2"/>
  <c r="AL6" i="2"/>
  <c r="AL24" i="2"/>
  <c r="AL23" i="2"/>
  <c r="AL22" i="2"/>
  <c r="AL21" i="2"/>
  <c r="AK22" i="2"/>
  <c r="AJ28" i="2"/>
  <c r="AJ22" i="2"/>
  <c r="AL5" i="2"/>
  <c r="AL3" i="2"/>
  <c r="AL4" i="2"/>
  <c r="AI30" i="2"/>
  <c r="AI29" i="2"/>
  <c r="AI28" i="2"/>
  <c r="AI25" i="2"/>
  <c r="AI24" i="2"/>
  <c r="AI23" i="2"/>
  <c r="AI22" i="2"/>
  <c r="AI21" i="2"/>
  <c r="AI9" i="2"/>
  <c r="AI26" i="2" s="1"/>
  <c r="AI8" i="2"/>
  <c r="AI5" i="2"/>
  <c r="AH30" i="2"/>
  <c r="AG30" i="2"/>
  <c r="AF30" i="2"/>
  <c r="AU14" i="2"/>
  <c r="AH28" i="2"/>
  <c r="AF28" i="2"/>
  <c r="AG28" i="2"/>
  <c r="AG5" i="2"/>
  <c r="AF21" i="2"/>
  <c r="AF25" i="2"/>
  <c r="AF22" i="2"/>
  <c r="AF8" i="2"/>
  <c r="AT16" i="2"/>
  <c r="AT14" i="2"/>
  <c r="AT12" i="2"/>
  <c r="AT11" i="2"/>
  <c r="AT10" i="2"/>
  <c r="AT7" i="2"/>
  <c r="AT6" i="2"/>
  <c r="AT4" i="2"/>
  <c r="AT25" i="2" s="1"/>
  <c r="AT3" i="2"/>
  <c r="AT24" i="2" s="1"/>
  <c r="AS16" i="2"/>
  <c r="AS14" i="2"/>
  <c r="AS12" i="2"/>
  <c r="AS11" i="2"/>
  <c r="AS10" i="2"/>
  <c r="AS7" i="2"/>
  <c r="AS6" i="2"/>
  <c r="AS4" i="2"/>
  <c r="AS3" i="2"/>
  <c r="W30" i="2"/>
  <c r="W28" i="2"/>
  <c r="W25" i="2"/>
  <c r="W24" i="2"/>
  <c r="W22" i="2"/>
  <c r="W21" i="2"/>
  <c r="W8" i="2"/>
  <c r="W5" i="2"/>
  <c r="AA49" i="2"/>
  <c r="AA47" i="2"/>
  <c r="AA46" i="2"/>
  <c r="AA34" i="2"/>
  <c r="AA43" i="2"/>
  <c r="AB49" i="2"/>
  <c r="AB47" i="2"/>
  <c r="AB46" i="2"/>
  <c r="AB34" i="2"/>
  <c r="AB43" i="2" s="1"/>
  <c r="X30" i="2"/>
  <c r="X28" i="2"/>
  <c r="X25" i="2"/>
  <c r="X24" i="2"/>
  <c r="X22" i="2"/>
  <c r="X21" i="2"/>
  <c r="X8" i="2"/>
  <c r="X5" i="2"/>
  <c r="AB30" i="2"/>
  <c r="AB28" i="2"/>
  <c r="AB25" i="2"/>
  <c r="AB24" i="2"/>
  <c r="AB22" i="2"/>
  <c r="AB21" i="2"/>
  <c r="AB8" i="2"/>
  <c r="AB5" i="2"/>
  <c r="AC49" i="2"/>
  <c r="AC47" i="2"/>
  <c r="AC46" i="2"/>
  <c r="AC34" i="2"/>
  <c r="AC43" i="2" s="1"/>
  <c r="Y30" i="2"/>
  <c r="Y28" i="2"/>
  <c r="Y25" i="2"/>
  <c r="Y24" i="2"/>
  <c r="Y22" i="2"/>
  <c r="Y21" i="2"/>
  <c r="Y8" i="2"/>
  <c r="Y5" i="2"/>
  <c r="AC30" i="2"/>
  <c r="AC28" i="2"/>
  <c r="AC25" i="2"/>
  <c r="AC24" i="2"/>
  <c r="AC22" i="2"/>
  <c r="AC21" i="2"/>
  <c r="AC8" i="2"/>
  <c r="AC5" i="2"/>
  <c r="AE51" i="2"/>
  <c r="AD51" i="2"/>
  <c r="Z49" i="2"/>
  <c r="Z47" i="2"/>
  <c r="Z46" i="2"/>
  <c r="Z34" i="2"/>
  <c r="Z43" i="2" s="1"/>
  <c r="AD42" i="2"/>
  <c r="AE42" i="2"/>
  <c r="AD49" i="2"/>
  <c r="AD47" i="2"/>
  <c r="AD46" i="2"/>
  <c r="AD37" i="2"/>
  <c r="AD34" i="2"/>
  <c r="Z25" i="2"/>
  <c r="Z24" i="2"/>
  <c r="Z8" i="2"/>
  <c r="Z5" i="2"/>
  <c r="AD30" i="2"/>
  <c r="AD28" i="2"/>
  <c r="AD25" i="2"/>
  <c r="AD24" i="2"/>
  <c r="AD22" i="2"/>
  <c r="AD21" i="2"/>
  <c r="AD8" i="2"/>
  <c r="AD5" i="2"/>
  <c r="AE49" i="2"/>
  <c r="AE47" i="2"/>
  <c r="AE46" i="2"/>
  <c r="AE34" i="2"/>
  <c r="AA30" i="2"/>
  <c r="AA28" i="2"/>
  <c r="AA25" i="2"/>
  <c r="AA24" i="2"/>
  <c r="AA22" i="2"/>
  <c r="AA21" i="2"/>
  <c r="AA8" i="2"/>
  <c r="AA5" i="2"/>
  <c r="AE30" i="2"/>
  <c r="AE28" i="2"/>
  <c r="AE25" i="2"/>
  <c r="AE24" i="2"/>
  <c r="AE22" i="2"/>
  <c r="AE21" i="2"/>
  <c r="AE8" i="2"/>
  <c r="AE5" i="2"/>
  <c r="AV12" i="2" l="1"/>
  <c r="AL13" i="2"/>
  <c r="AK5" i="2"/>
  <c r="AK29" i="2" s="1"/>
  <c r="AK8" i="2"/>
  <c r="AK9" i="2" s="1"/>
  <c r="AK26" i="2" s="1"/>
  <c r="AW7" i="2"/>
  <c r="AV10" i="2"/>
  <c r="AV7" i="2"/>
  <c r="AJ24" i="2"/>
  <c r="AJ8" i="2"/>
  <c r="AJ21" i="2"/>
  <c r="AV3" i="2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AJ5" i="2"/>
  <c r="AI13" i="2"/>
  <c r="AD52" i="2"/>
  <c r="AD54" i="2" s="1"/>
  <c r="AU4" i="2"/>
  <c r="AU22" i="2" s="1"/>
  <c r="AG22" i="2"/>
  <c r="AH21" i="2"/>
  <c r="AS8" i="2"/>
  <c r="AG25" i="2"/>
  <c r="AH22" i="2"/>
  <c r="AH5" i="2"/>
  <c r="AH29" i="2" s="1"/>
  <c r="AH24" i="2"/>
  <c r="AG21" i="2"/>
  <c r="AG29" i="2"/>
  <c r="AG23" i="2"/>
  <c r="AU10" i="2"/>
  <c r="AU7" i="2"/>
  <c r="AF24" i="2"/>
  <c r="AU3" i="2"/>
  <c r="AU12" i="2"/>
  <c r="AF5" i="2"/>
  <c r="AT8" i="2"/>
  <c r="AT5" i="2"/>
  <c r="AS24" i="2"/>
  <c r="AS25" i="2"/>
  <c r="AS5" i="2"/>
  <c r="AC9" i="2"/>
  <c r="AC13" i="2" s="1"/>
  <c r="AD43" i="2"/>
  <c r="AC52" i="2"/>
  <c r="AC54" i="2" s="1"/>
  <c r="W29" i="2"/>
  <c r="W9" i="2"/>
  <c r="AA23" i="2"/>
  <c r="AA52" i="2"/>
  <c r="AA54" i="2" s="1"/>
  <c r="AB52" i="2"/>
  <c r="AB54" i="2" s="1"/>
  <c r="AB23" i="2"/>
  <c r="X9" i="2"/>
  <c r="X13" i="2" s="1"/>
  <c r="X27" i="2" s="1"/>
  <c r="X29" i="2"/>
  <c r="AB9" i="2"/>
  <c r="AB29" i="2"/>
  <c r="Y9" i="2"/>
  <c r="Y29" i="2"/>
  <c r="AC29" i="2"/>
  <c r="AC23" i="2"/>
  <c r="Z52" i="2"/>
  <c r="Z54" i="2" s="1"/>
  <c r="Z9" i="2"/>
  <c r="Z13" i="2" s="1"/>
  <c r="AE52" i="2"/>
  <c r="AE54" i="2" s="1"/>
  <c r="Z29" i="2"/>
  <c r="AD23" i="2"/>
  <c r="AD29" i="2"/>
  <c r="AD9" i="2"/>
  <c r="AD26" i="2" s="1"/>
  <c r="AE43" i="2"/>
  <c r="AA29" i="2"/>
  <c r="AA9" i="2"/>
  <c r="AE23" i="2"/>
  <c r="AE9" i="2"/>
  <c r="AE29" i="2"/>
  <c r="AL27" i="2" l="1"/>
  <c r="AL15" i="2"/>
  <c r="AV6" i="2"/>
  <c r="AK23" i="2"/>
  <c r="AK24" i="2"/>
  <c r="AK13" i="2"/>
  <c r="AJ9" i="2"/>
  <c r="AJ26" i="2" s="1"/>
  <c r="AJ23" i="2"/>
  <c r="AI27" i="2"/>
  <c r="AI15" i="2"/>
  <c r="Z26" i="2"/>
  <c r="AH23" i="2"/>
  <c r="AU30" i="2"/>
  <c r="AU11" i="2"/>
  <c r="AU6" i="2"/>
  <c r="AU24" i="2" s="1"/>
  <c r="AG24" i="2"/>
  <c r="AF29" i="2"/>
  <c r="AG8" i="2"/>
  <c r="AG9" i="2" s="1"/>
  <c r="AU25" i="2"/>
  <c r="AU21" i="2"/>
  <c r="AV25" i="2"/>
  <c r="AS9" i="2"/>
  <c r="AS13" i="2" s="1"/>
  <c r="AH8" i="2"/>
  <c r="AH9" i="2" s="1"/>
  <c r="AC26" i="2"/>
  <c r="AU28" i="2"/>
  <c r="AT9" i="2"/>
  <c r="AT13" i="2" s="1"/>
  <c r="AT15" i="2" s="1"/>
  <c r="AT17" i="2" s="1"/>
  <c r="AT19" i="2" s="1"/>
  <c r="AT23" i="2"/>
  <c r="AU5" i="2"/>
  <c r="AH25" i="2"/>
  <c r="AF23" i="2"/>
  <c r="AF9" i="2"/>
  <c r="AS29" i="2"/>
  <c r="W13" i="2"/>
  <c r="W26" i="2"/>
  <c r="X26" i="2"/>
  <c r="X15" i="2"/>
  <c r="X31" i="2" s="1"/>
  <c r="AB26" i="2"/>
  <c r="AB13" i="2"/>
  <c r="Y13" i="2"/>
  <c r="Y26" i="2"/>
  <c r="AC27" i="2"/>
  <c r="AC15" i="2"/>
  <c r="Z15" i="2"/>
  <c r="Z27" i="2"/>
  <c r="AD13" i="2"/>
  <c r="AD15" i="2" s="1"/>
  <c r="AA13" i="2"/>
  <c r="AA26" i="2"/>
  <c r="AE26" i="2"/>
  <c r="AE13" i="2"/>
  <c r="AL16" i="2" l="1"/>
  <c r="AL31" i="2" s="1"/>
  <c r="AK15" i="2"/>
  <c r="AK31" i="2" s="1"/>
  <c r="AK27" i="2"/>
  <c r="AJ13" i="2"/>
  <c r="AJ27" i="2" s="1"/>
  <c r="AV11" i="2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AJ29" i="2"/>
  <c r="AY10" i="2"/>
  <c r="AZ10" i="2" s="1"/>
  <c r="BA10" i="2" s="1"/>
  <c r="BB10" i="2" s="1"/>
  <c r="BC10" i="2" s="1"/>
  <c r="BD10" i="2" s="1"/>
  <c r="BE10" i="2" s="1"/>
  <c r="BF10" i="2" s="1"/>
  <c r="BF28" i="2" s="1"/>
  <c r="AI31" i="2"/>
  <c r="AI17" i="2"/>
  <c r="AI19" i="2" s="1"/>
  <c r="AU29" i="2"/>
  <c r="AS26" i="2"/>
  <c r="AG26" i="2"/>
  <c r="AG13" i="2"/>
  <c r="AU8" i="2"/>
  <c r="AU9" i="2" s="1"/>
  <c r="AX7" i="2"/>
  <c r="AW25" i="2"/>
  <c r="AV8" i="2"/>
  <c r="AH26" i="2"/>
  <c r="AH13" i="2"/>
  <c r="AU23" i="2"/>
  <c r="AF26" i="2"/>
  <c r="AF13" i="2"/>
  <c r="AS27" i="2"/>
  <c r="AS15" i="2"/>
  <c r="W15" i="2"/>
  <c r="W27" i="2"/>
  <c r="X17" i="2"/>
  <c r="X19" i="2" s="1"/>
  <c r="AB27" i="2"/>
  <c r="AB15" i="2"/>
  <c r="Y15" i="2"/>
  <c r="Y27" i="2"/>
  <c r="AC31" i="2"/>
  <c r="AC17" i="2"/>
  <c r="AC19" i="2" s="1"/>
  <c r="Z31" i="2"/>
  <c r="Z17" i="2"/>
  <c r="Z19" i="2" s="1"/>
  <c r="AD27" i="2"/>
  <c r="AD31" i="2"/>
  <c r="AD17" i="2"/>
  <c r="AD19" i="2" s="1"/>
  <c r="AA15" i="2"/>
  <c r="AA27" i="2"/>
  <c r="AE27" i="2"/>
  <c r="AE15" i="2"/>
  <c r="AL17" i="2" l="1"/>
  <c r="AL19" i="2" s="1"/>
  <c r="AK17" i="2"/>
  <c r="AK19" i="2" s="1"/>
  <c r="AJ15" i="2"/>
  <c r="AJ17" i="2" s="1"/>
  <c r="AJ19" i="2" s="1"/>
  <c r="BE28" i="2"/>
  <c r="AG15" i="2"/>
  <c r="AG17" i="2" s="1"/>
  <c r="AG19" i="2" s="1"/>
  <c r="AG27" i="2"/>
  <c r="AH15" i="2"/>
  <c r="AH31" i="2" s="1"/>
  <c r="AH27" i="2"/>
  <c r="AW6" i="2"/>
  <c r="AW24" i="2" s="1"/>
  <c r="AV24" i="2"/>
  <c r="AU13" i="2"/>
  <c r="AU26" i="2"/>
  <c r="AY4" i="2"/>
  <c r="AY7" i="2" s="1"/>
  <c r="AF27" i="2"/>
  <c r="AF15" i="2"/>
  <c r="AS17" i="2"/>
  <c r="AS19" i="2" s="1"/>
  <c r="AS31" i="2"/>
  <c r="W17" i="2"/>
  <c r="W19" i="2" s="1"/>
  <c r="W31" i="2"/>
  <c r="AB31" i="2"/>
  <c r="AB17" i="2"/>
  <c r="AB19" i="2" s="1"/>
  <c r="Y31" i="2"/>
  <c r="Y17" i="2"/>
  <c r="Y19" i="2" s="1"/>
  <c r="AA17" i="2"/>
  <c r="AA19" i="2" s="1"/>
  <c r="AA31" i="2"/>
  <c r="AE31" i="2"/>
  <c r="AE17" i="2"/>
  <c r="AE19" i="2" s="1"/>
  <c r="AJ31" i="2" l="1"/>
  <c r="AV16" i="2"/>
  <c r="AH17" i="2"/>
  <c r="AH19" i="2" s="1"/>
  <c r="AU16" i="2"/>
  <c r="AG31" i="2"/>
  <c r="AU27" i="2"/>
  <c r="AU15" i="2"/>
  <c r="AX25" i="2"/>
  <c r="AW8" i="2"/>
  <c r="AZ4" i="2"/>
  <c r="AZ7" i="2" s="1"/>
  <c r="AX6" i="2"/>
  <c r="AX24" i="2" s="1"/>
  <c r="AF31" i="2"/>
  <c r="AF17" i="2"/>
  <c r="AF19" i="2" s="1"/>
  <c r="AU31" i="2" l="1"/>
  <c r="AX8" i="2"/>
  <c r="AU17" i="2"/>
  <c r="AU19" i="2" s="1"/>
  <c r="AZ25" i="2"/>
  <c r="BA4" i="2"/>
  <c r="BA7" i="2" s="1"/>
  <c r="AY25" i="2"/>
  <c r="AY6" i="2"/>
  <c r="AY24" i="2" s="1"/>
  <c r="Z28" i="2"/>
  <c r="Z21" i="2"/>
  <c r="BA25" i="2" l="1"/>
  <c r="AZ6" i="2"/>
  <c r="AZ24" i="2" s="1"/>
  <c r="AY8" i="2"/>
  <c r="Z22" i="2"/>
  <c r="Z30" i="2"/>
  <c r="AZ8" i="2" l="1"/>
  <c r="BA6" i="2"/>
  <c r="BA8" i="2" s="1"/>
  <c r="AR12" i="2"/>
  <c r="AS30" i="2" s="1"/>
  <c r="AR10" i="2"/>
  <c r="AS28" i="2" s="1"/>
  <c r="AR4" i="2"/>
  <c r="AS22" i="2" s="1"/>
  <c r="AR3" i="2"/>
  <c r="AS21" i="2" s="1"/>
  <c r="V30" i="2"/>
  <c r="U30" i="2"/>
  <c r="T30" i="2"/>
  <c r="T28" i="2"/>
  <c r="V28" i="2"/>
  <c r="T8" i="2"/>
  <c r="V24" i="2"/>
  <c r="V5" i="2"/>
  <c r="U5" i="2"/>
  <c r="Y23" i="2" s="1"/>
  <c r="T5" i="2"/>
  <c r="X23" i="2" s="1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S30" i="2"/>
  <c r="R30" i="2"/>
  <c r="Q30" i="2"/>
  <c r="P30" i="2"/>
  <c r="O30" i="2"/>
  <c r="N30" i="2"/>
  <c r="M30" i="2"/>
  <c r="L30" i="2"/>
  <c r="K30" i="2"/>
  <c r="J30" i="2"/>
  <c r="I30" i="2"/>
  <c r="H30" i="2"/>
  <c r="U28" i="2"/>
  <c r="S28" i="2"/>
  <c r="R28" i="2"/>
  <c r="Q28" i="2"/>
  <c r="P28" i="2"/>
  <c r="O28" i="2"/>
  <c r="N28" i="2"/>
  <c r="M28" i="2"/>
  <c r="L28" i="2"/>
  <c r="K28" i="2"/>
  <c r="J28" i="2"/>
  <c r="I28" i="2"/>
  <c r="H28" i="2"/>
  <c r="G30" i="2"/>
  <c r="G28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S8" i="2"/>
  <c r="S5" i="2"/>
  <c r="W23" i="2" s="1"/>
  <c r="BA24" i="2" l="1"/>
  <c r="BB6" i="2"/>
  <c r="BB24" i="2" s="1"/>
  <c r="BB21" i="2"/>
  <c r="Z23" i="2"/>
  <c r="T9" i="2"/>
  <c r="T13" i="2" s="1"/>
  <c r="T15" i="2" s="1"/>
  <c r="AR7" i="2"/>
  <c r="AR25" i="2" s="1"/>
  <c r="U8" i="2"/>
  <c r="U9" i="2" s="1"/>
  <c r="U13" i="2" s="1"/>
  <c r="U15" i="2" s="1"/>
  <c r="U17" i="2" s="1"/>
  <c r="U19" i="2" s="1"/>
  <c r="V8" i="2"/>
  <c r="V9" i="2" s="1"/>
  <c r="V13" i="2" s="1"/>
  <c r="V15" i="2" s="1"/>
  <c r="V17" i="2" s="1"/>
  <c r="V19" i="2" s="1"/>
  <c r="AR11" i="2"/>
  <c r="AR6" i="2"/>
  <c r="AR24" i="2" s="1"/>
  <c r="AR14" i="2"/>
  <c r="BA12" i="2"/>
  <c r="V25" i="2"/>
  <c r="U25" i="2"/>
  <c r="T25" i="2"/>
  <c r="U24" i="2"/>
  <c r="T24" i="2"/>
  <c r="S9" i="2"/>
  <c r="S13" i="2" s="1"/>
  <c r="S15" i="2" s="1"/>
  <c r="S17" i="2" s="1"/>
  <c r="S19" i="2" s="1"/>
  <c r="BE30" i="2" l="1"/>
  <c r="BF30" i="2"/>
  <c r="BC6" i="2"/>
  <c r="BC24" i="2" s="1"/>
  <c r="BC21" i="2"/>
  <c r="BB30" i="2"/>
  <c r="AR8" i="2"/>
  <c r="T17" i="2"/>
  <c r="T19" i="2" s="1"/>
  <c r="AR16" i="2"/>
  <c r="BI27" i="2"/>
  <c r="BD6" i="2" l="1"/>
  <c r="BD24" i="2" s="1"/>
  <c r="BD21" i="2"/>
  <c r="BC30" i="2"/>
  <c r="BD30" i="2"/>
  <c r="BB28" i="2"/>
  <c r="AW14" i="2"/>
  <c r="AX14" i="2" s="1"/>
  <c r="AY14" i="2" s="1"/>
  <c r="AZ14" i="2" s="1"/>
  <c r="BA14" i="2" s="1"/>
  <c r="BB14" i="2" s="1"/>
  <c r="BC14" i="2" s="1"/>
  <c r="BD14" i="2" s="1"/>
  <c r="BE14" i="2" s="1"/>
  <c r="BF14" i="2" s="1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Q16" i="2"/>
  <c r="AQ14" i="2"/>
  <c r="AQ12" i="2"/>
  <c r="AQ11" i="2"/>
  <c r="AQ10" i="2"/>
  <c r="AQ7" i="2"/>
  <c r="AQ6" i="2"/>
  <c r="AQ4" i="2"/>
  <c r="AQ3" i="2"/>
  <c r="H16" i="2"/>
  <c r="AO16" i="2" s="1"/>
  <c r="AP16" i="2"/>
  <c r="AP14" i="2"/>
  <c r="AP12" i="2"/>
  <c r="AP11" i="2"/>
  <c r="AP10" i="2"/>
  <c r="AP7" i="2"/>
  <c r="AP6" i="2"/>
  <c r="AP8" i="2" s="1"/>
  <c r="AP4" i="2"/>
  <c r="AP3" i="2"/>
  <c r="AO14" i="2"/>
  <c r="AO12" i="2"/>
  <c r="AO11" i="2"/>
  <c r="AO10" i="2"/>
  <c r="AO7" i="2"/>
  <c r="AO6" i="2"/>
  <c r="AO4" i="2"/>
  <c r="AO3" i="2"/>
  <c r="AN16" i="2"/>
  <c r="AN12" i="2"/>
  <c r="AN11" i="2"/>
  <c r="AN10" i="2"/>
  <c r="AN7" i="2"/>
  <c r="AN6" i="2"/>
  <c r="AN8" i="2" s="1"/>
  <c r="AN4" i="2"/>
  <c r="AN3" i="2"/>
  <c r="C8" i="2"/>
  <c r="C5" i="2"/>
  <c r="C29" i="2" s="1"/>
  <c r="G8" i="2"/>
  <c r="G5" i="2"/>
  <c r="D8" i="2"/>
  <c r="D5" i="2"/>
  <c r="D29" i="2" s="1"/>
  <c r="H8" i="2"/>
  <c r="H5" i="2"/>
  <c r="E8" i="2"/>
  <c r="E5" i="2"/>
  <c r="E29" i="2" s="1"/>
  <c r="I8" i="2"/>
  <c r="I5" i="2"/>
  <c r="F14" i="2"/>
  <c r="AN14" i="2" s="1"/>
  <c r="F8" i="2"/>
  <c r="F5" i="2"/>
  <c r="F29" i="2" s="1"/>
  <c r="J8" i="2"/>
  <c r="J5" i="2"/>
  <c r="K8" i="2"/>
  <c r="K5" i="2"/>
  <c r="AN25" i="2" l="1"/>
  <c r="BE6" i="2"/>
  <c r="BE24" i="2" s="1"/>
  <c r="BE21" i="2"/>
  <c r="BC28" i="2"/>
  <c r="BD28" i="2"/>
  <c r="AO25" i="2"/>
  <c r="I23" i="2"/>
  <c r="G23" i="2"/>
  <c r="AP30" i="2"/>
  <c r="AO28" i="2"/>
  <c r="AP28" i="2"/>
  <c r="AQ21" i="2"/>
  <c r="AQ24" i="2"/>
  <c r="AR21" i="2"/>
  <c r="AQ30" i="2"/>
  <c r="AR30" i="2"/>
  <c r="AQ22" i="2"/>
  <c r="AQ25" i="2"/>
  <c r="AO22" i="2"/>
  <c r="AO30" i="2"/>
  <c r="AP22" i="2"/>
  <c r="H23" i="2"/>
  <c r="AR22" i="2"/>
  <c r="AN5" i="2"/>
  <c r="AN9" i="2" s="1"/>
  <c r="AN24" i="2"/>
  <c r="AO24" i="2"/>
  <c r="AO21" i="2"/>
  <c r="AP24" i="2"/>
  <c r="AP21" i="2"/>
  <c r="AQ28" i="2"/>
  <c r="AR28" i="2"/>
  <c r="AP25" i="2"/>
  <c r="AT28" i="2"/>
  <c r="J23" i="2"/>
  <c r="AO5" i="2"/>
  <c r="AQ8" i="2"/>
  <c r="AQ5" i="2"/>
  <c r="AP5" i="2"/>
  <c r="AO8" i="2"/>
  <c r="C9" i="2"/>
  <c r="G9" i="2"/>
  <c r="G13" i="2" s="1"/>
  <c r="G15" i="2" s="1"/>
  <c r="G17" i="2" s="1"/>
  <c r="G19" i="2" s="1"/>
  <c r="D9" i="2"/>
  <c r="H9" i="2"/>
  <c r="H13" i="2" s="1"/>
  <c r="H15" i="2" s="1"/>
  <c r="E9" i="2"/>
  <c r="I9" i="2"/>
  <c r="I13" i="2" s="1"/>
  <c r="I15" i="2" s="1"/>
  <c r="I17" i="2" s="1"/>
  <c r="I19" i="2" s="1"/>
  <c r="F9" i="2"/>
  <c r="J9" i="2"/>
  <c r="J13" i="2" s="1"/>
  <c r="J15" i="2" s="1"/>
  <c r="J17" i="2" s="1"/>
  <c r="J19" i="2" s="1"/>
  <c r="K9" i="2"/>
  <c r="K13" i="2" s="1"/>
  <c r="K15" i="2" s="1"/>
  <c r="K17" i="2" s="1"/>
  <c r="K19" i="2" s="1"/>
  <c r="O8" i="2"/>
  <c r="O5" i="2"/>
  <c r="S23" i="2" s="1"/>
  <c r="K23" i="2"/>
  <c r="L8" i="2"/>
  <c r="L5" i="2"/>
  <c r="L23" i="2" s="1"/>
  <c r="P8" i="2"/>
  <c r="P5" i="2"/>
  <c r="T23" i="2" s="1"/>
  <c r="M8" i="2"/>
  <c r="M5" i="2"/>
  <c r="M23" i="2" s="1"/>
  <c r="Q8" i="2"/>
  <c r="Q5" i="2"/>
  <c r="U23" i="2" s="1"/>
  <c r="AQ29" i="2" l="1"/>
  <c r="AQ23" i="2"/>
  <c r="AO29" i="2"/>
  <c r="AO23" i="2"/>
  <c r="BF21" i="2"/>
  <c r="BF6" i="2"/>
  <c r="BF24" i="2" s="1"/>
  <c r="AP9" i="2"/>
  <c r="AP13" i="2" s="1"/>
  <c r="AP23" i="2"/>
  <c r="Q23" i="2"/>
  <c r="AN29" i="2"/>
  <c r="AO9" i="2"/>
  <c r="AO26" i="2" s="1"/>
  <c r="P23" i="2"/>
  <c r="C13" i="2"/>
  <c r="C26" i="2"/>
  <c r="AP29" i="2"/>
  <c r="AT30" i="2"/>
  <c r="E13" i="2"/>
  <c r="E26" i="2"/>
  <c r="H17" i="2"/>
  <c r="H19" i="2" s="1"/>
  <c r="H31" i="2"/>
  <c r="AR5" i="2"/>
  <c r="F13" i="2"/>
  <c r="F26" i="2"/>
  <c r="AN13" i="2"/>
  <c r="AN26" i="2"/>
  <c r="D13" i="2"/>
  <c r="D26" i="2"/>
  <c r="AQ9" i="2"/>
  <c r="O23" i="2"/>
  <c r="O9" i="2"/>
  <c r="O13" i="2" s="1"/>
  <c r="O15" i="2" s="1"/>
  <c r="O17" i="2" s="1"/>
  <c r="O19" i="2" s="1"/>
  <c r="L9" i="2"/>
  <c r="L13" i="2" s="1"/>
  <c r="L15" i="2" s="1"/>
  <c r="L17" i="2" s="1"/>
  <c r="L19" i="2" s="1"/>
  <c r="P9" i="2"/>
  <c r="P13" i="2" s="1"/>
  <c r="P15" i="2" s="1"/>
  <c r="P17" i="2" s="1"/>
  <c r="P19" i="2" s="1"/>
  <c r="M9" i="2"/>
  <c r="M13" i="2" s="1"/>
  <c r="M15" i="2" s="1"/>
  <c r="M17" i="2" s="1"/>
  <c r="M19" i="2" s="1"/>
  <c r="Q9" i="2"/>
  <c r="Q13" i="2" s="1"/>
  <c r="Q15" i="2" s="1"/>
  <c r="Q17" i="2" s="1"/>
  <c r="Q19" i="2" s="1"/>
  <c r="V29" i="2"/>
  <c r="U29" i="2"/>
  <c r="T29" i="2"/>
  <c r="S29" i="2"/>
  <c r="Q29" i="2"/>
  <c r="P29" i="2"/>
  <c r="O29" i="2"/>
  <c r="M29" i="2"/>
  <c r="L29" i="2"/>
  <c r="K29" i="2"/>
  <c r="J29" i="2"/>
  <c r="I29" i="2"/>
  <c r="H29" i="2"/>
  <c r="G29" i="2"/>
  <c r="V31" i="2"/>
  <c r="U31" i="2"/>
  <c r="T31" i="2"/>
  <c r="S31" i="2"/>
  <c r="K31" i="2"/>
  <c r="J31" i="2"/>
  <c r="I31" i="2"/>
  <c r="G31" i="2"/>
  <c r="V27" i="2"/>
  <c r="U27" i="2"/>
  <c r="T27" i="2"/>
  <c r="S27" i="2"/>
  <c r="K27" i="2"/>
  <c r="J27" i="2"/>
  <c r="I27" i="2"/>
  <c r="H27" i="2"/>
  <c r="V26" i="2"/>
  <c r="U26" i="2"/>
  <c r="T26" i="2"/>
  <c r="S26" i="2"/>
  <c r="K26" i="2"/>
  <c r="J26" i="2"/>
  <c r="I26" i="2"/>
  <c r="H26" i="2"/>
  <c r="G27" i="2"/>
  <c r="G26" i="2"/>
  <c r="N8" i="2"/>
  <c r="N5" i="2"/>
  <c r="N23" i="2" s="1"/>
  <c r="R8" i="2"/>
  <c r="R5" i="2"/>
  <c r="F3" i="1"/>
  <c r="D8" i="1"/>
  <c r="BI24" i="2" s="1"/>
  <c r="D5" i="1"/>
  <c r="AP26" i="2" l="1"/>
  <c r="AO13" i="2"/>
  <c r="AO27" i="2" s="1"/>
  <c r="AR9" i="2"/>
  <c r="AR23" i="2"/>
  <c r="AS23" i="2"/>
  <c r="V23" i="2"/>
  <c r="R23" i="2"/>
  <c r="AP15" i="2"/>
  <c r="AP27" i="2"/>
  <c r="N29" i="2"/>
  <c r="AR29" i="2"/>
  <c r="R29" i="2"/>
  <c r="AQ13" i="2"/>
  <c r="AQ26" i="2"/>
  <c r="D15" i="2"/>
  <c r="D27" i="2"/>
  <c r="E15" i="2"/>
  <c r="E27" i="2"/>
  <c r="AT22" i="2"/>
  <c r="AN15" i="2"/>
  <c r="AN27" i="2"/>
  <c r="F15" i="2"/>
  <c r="F27" i="2"/>
  <c r="AV28" i="2"/>
  <c r="C15" i="2"/>
  <c r="C27" i="2"/>
  <c r="R9" i="2"/>
  <c r="O26" i="2"/>
  <c r="O27" i="2"/>
  <c r="O31" i="2"/>
  <c r="L31" i="2"/>
  <c r="L27" i="2"/>
  <c r="L26" i="2"/>
  <c r="P26" i="2"/>
  <c r="P31" i="2"/>
  <c r="P27" i="2"/>
  <c r="M27" i="2"/>
  <c r="M26" i="2"/>
  <c r="M31" i="2"/>
  <c r="Q27" i="2"/>
  <c r="Q31" i="2"/>
  <c r="Q26" i="2"/>
  <c r="N9" i="2"/>
  <c r="D9" i="1"/>
  <c r="AO15" i="2" l="1"/>
  <c r="AO17" i="2" s="1"/>
  <c r="AO19" i="2" s="1"/>
  <c r="AT21" i="2"/>
  <c r="AN31" i="2"/>
  <c r="AN17" i="2"/>
  <c r="AN19" i="2" s="1"/>
  <c r="C17" i="2"/>
  <c r="C19" i="2" s="1"/>
  <c r="C31" i="2"/>
  <c r="E17" i="2"/>
  <c r="E19" i="2" s="1"/>
  <c r="E31" i="2"/>
  <c r="AR13" i="2"/>
  <c r="AR26" i="2"/>
  <c r="D17" i="2"/>
  <c r="D19" i="2" s="1"/>
  <c r="D31" i="2"/>
  <c r="AW28" i="2"/>
  <c r="F17" i="2"/>
  <c r="F19" i="2" s="1"/>
  <c r="F31" i="2"/>
  <c r="R26" i="2"/>
  <c r="R13" i="2"/>
  <c r="N13" i="2"/>
  <c r="N26" i="2"/>
  <c r="AQ15" i="2"/>
  <c r="AQ27" i="2"/>
  <c r="AP17" i="2"/>
  <c r="AP19" i="2" s="1"/>
  <c r="AP31" i="2"/>
  <c r="AO31" i="2"/>
  <c r="BB4" i="2" l="1"/>
  <c r="BB7" i="2" s="1"/>
  <c r="AW30" i="2"/>
  <c r="AV30" i="2"/>
  <c r="AQ31" i="2"/>
  <c r="AQ17" i="2"/>
  <c r="AQ19" i="2" s="1"/>
  <c r="AV22" i="2"/>
  <c r="N15" i="2"/>
  <c r="N27" i="2"/>
  <c r="AX28" i="2"/>
  <c r="R27" i="2"/>
  <c r="R15" i="2"/>
  <c r="AR27" i="2"/>
  <c r="AR15" i="2"/>
  <c r="BB8" i="2" l="1"/>
  <c r="BC4" i="2"/>
  <c r="BC7" i="2" s="1"/>
  <c r="BB22" i="2"/>
  <c r="BB5" i="2"/>
  <c r="AT29" i="2"/>
  <c r="AX30" i="2"/>
  <c r="AV21" i="2"/>
  <c r="R31" i="2"/>
  <c r="R17" i="2"/>
  <c r="R19" i="2" s="1"/>
  <c r="AV5" i="2"/>
  <c r="AW22" i="2"/>
  <c r="AY28" i="2"/>
  <c r="AT26" i="2"/>
  <c r="AR31" i="2"/>
  <c r="N17" i="2"/>
  <c r="N19" i="2" s="1"/>
  <c r="N31" i="2"/>
  <c r="BD4" i="2" l="1"/>
  <c r="BD7" i="2" s="1"/>
  <c r="BC8" i="2"/>
  <c r="BB9" i="2"/>
  <c r="AV9" i="2"/>
  <c r="AV23" i="2"/>
  <c r="BB25" i="2"/>
  <c r="BB29" i="2"/>
  <c r="BC22" i="2"/>
  <c r="BC5" i="2"/>
  <c r="AY30" i="2"/>
  <c r="AW21" i="2"/>
  <c r="AW5" i="2"/>
  <c r="AX22" i="2"/>
  <c r="AT27" i="2"/>
  <c r="AZ28" i="2"/>
  <c r="AV29" i="2"/>
  <c r="AR17" i="2"/>
  <c r="AR19" i="2" s="1"/>
  <c r="BE4" i="2" l="1"/>
  <c r="BE7" i="2" s="1"/>
  <c r="AW23" i="2"/>
  <c r="AW9" i="2"/>
  <c r="BC25" i="2"/>
  <c r="BC9" i="2"/>
  <c r="BC23" i="2"/>
  <c r="BD8" i="2"/>
  <c r="BC29" i="2"/>
  <c r="BD22" i="2"/>
  <c r="BD5" i="2"/>
  <c r="BB26" i="2"/>
  <c r="BB13" i="2"/>
  <c r="AZ30" i="2"/>
  <c r="AX21" i="2"/>
  <c r="AY22" i="2"/>
  <c r="AV26" i="2"/>
  <c r="AV13" i="2"/>
  <c r="BA28" i="2"/>
  <c r="AW29" i="2"/>
  <c r="AT31" i="2"/>
  <c r="AX5" i="2"/>
  <c r="BE22" i="2" l="1"/>
  <c r="BF4" i="2"/>
  <c r="BF7" i="2" s="1"/>
  <c r="BE5" i="2"/>
  <c r="BD25" i="2"/>
  <c r="BD9" i="2"/>
  <c r="BD23" i="2"/>
  <c r="AX9" i="2"/>
  <c r="AX23" i="2"/>
  <c r="BD29" i="2"/>
  <c r="BC26" i="2"/>
  <c r="BC13" i="2"/>
  <c r="BB15" i="2"/>
  <c r="BB16" i="2" s="1"/>
  <c r="BB27" i="2"/>
  <c r="BA30" i="2"/>
  <c r="AY21" i="2"/>
  <c r="AW26" i="2"/>
  <c r="AW13" i="2"/>
  <c r="AV15" i="2"/>
  <c r="AV27" i="2"/>
  <c r="AX29" i="2"/>
  <c r="AY5" i="2"/>
  <c r="AZ22" i="2"/>
  <c r="BF22" i="2" l="1"/>
  <c r="BF5" i="2"/>
  <c r="BE29" i="2"/>
  <c r="BE8" i="2"/>
  <c r="BE9" i="2" s="1"/>
  <c r="BE25" i="2"/>
  <c r="BE23" i="2"/>
  <c r="AY9" i="2"/>
  <c r="AY23" i="2"/>
  <c r="BB31" i="2"/>
  <c r="BC15" i="2"/>
  <c r="BC16" i="2" s="1"/>
  <c r="BC27" i="2"/>
  <c r="BD26" i="2"/>
  <c r="BD13" i="2"/>
  <c r="BA22" i="2"/>
  <c r="AZ21" i="2"/>
  <c r="AX26" i="2"/>
  <c r="AX13" i="2"/>
  <c r="AV31" i="2"/>
  <c r="AZ5" i="2"/>
  <c r="AY29" i="2"/>
  <c r="AW27" i="2"/>
  <c r="AW15" i="2"/>
  <c r="AW16" i="2" s="1"/>
  <c r="BE26" i="2" l="1"/>
  <c r="BE13" i="2"/>
  <c r="BF23" i="2"/>
  <c r="BF29" i="2"/>
  <c r="BF25" i="2"/>
  <c r="BF8" i="2"/>
  <c r="BF9" i="2" s="1"/>
  <c r="AZ9" i="2"/>
  <c r="AZ23" i="2"/>
  <c r="BB17" i="2"/>
  <c r="BB19" i="2" s="1"/>
  <c r="BD15" i="2"/>
  <c r="BD16" i="2" s="1"/>
  <c r="BD27" i="2"/>
  <c r="BC31" i="2"/>
  <c r="AV17" i="2"/>
  <c r="BA21" i="2"/>
  <c r="AZ29" i="2"/>
  <c r="BA5" i="2"/>
  <c r="AY26" i="2"/>
  <c r="AY13" i="2"/>
  <c r="AW31" i="2"/>
  <c r="AX15" i="2"/>
  <c r="AX16" i="2" s="1"/>
  <c r="AX27" i="2"/>
  <c r="BF13" i="2" l="1"/>
  <c r="BF26" i="2"/>
  <c r="BE27" i="2"/>
  <c r="BE15" i="2"/>
  <c r="BE16" i="2" s="1"/>
  <c r="BE31" i="2" s="1"/>
  <c r="BA9" i="2"/>
  <c r="BA23" i="2"/>
  <c r="BB23" i="2"/>
  <c r="AV19" i="2"/>
  <c r="BC17" i="2"/>
  <c r="BC19" i="2" s="1"/>
  <c r="BD31" i="2"/>
  <c r="AW17" i="2"/>
  <c r="AW19" i="2" s="1"/>
  <c r="AY27" i="2"/>
  <c r="AY15" i="2"/>
  <c r="AY16" i="2" s="1"/>
  <c r="BA29" i="2"/>
  <c r="AX31" i="2"/>
  <c r="AZ13" i="2"/>
  <c r="AZ26" i="2"/>
  <c r="BE17" i="2" l="1"/>
  <c r="BE19" i="2" s="1"/>
  <c r="BF27" i="2"/>
  <c r="BF15" i="2"/>
  <c r="BF16" i="2" s="1"/>
  <c r="BF31" i="2" s="1"/>
  <c r="BD17" i="2"/>
  <c r="BD19" i="2" s="1"/>
  <c r="AX17" i="2"/>
  <c r="BA26" i="2"/>
  <c r="BA13" i="2"/>
  <c r="AY31" i="2"/>
  <c r="AZ27" i="2"/>
  <c r="AZ15" i="2"/>
  <c r="AZ16" i="2" s="1"/>
  <c r="BF17" i="2" l="1"/>
  <c r="BF19" i="2" s="1"/>
  <c r="AX19" i="2"/>
  <c r="AY17" i="2"/>
  <c r="AY19" i="2" s="1"/>
  <c r="AZ31" i="2"/>
  <c r="BA27" i="2"/>
  <c r="BA15" i="2"/>
  <c r="BA16" i="2" s="1"/>
  <c r="AZ17" i="2" l="1"/>
  <c r="BA31" i="2"/>
  <c r="AZ19" i="2" l="1"/>
  <c r="BA17" i="2"/>
  <c r="BA19" i="2" l="1"/>
  <c r="BG17" i="2" l="1"/>
  <c r="BH17" i="2" s="1"/>
  <c r="BI17" i="2" l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FI17" i="2" s="1"/>
  <c r="FJ17" i="2" s="1"/>
  <c r="FK17" i="2" s="1"/>
  <c r="FL17" i="2" s="1"/>
  <c r="FM17" i="2" s="1"/>
  <c r="FN17" i="2" s="1"/>
  <c r="FO17" i="2" s="1"/>
  <c r="FP17" i="2" s="1"/>
  <c r="FQ17" i="2" s="1"/>
  <c r="FR17" i="2" s="1"/>
  <c r="FS17" i="2" s="1"/>
  <c r="FT17" i="2" s="1"/>
  <c r="FU17" i="2" s="1"/>
  <c r="FV17" i="2" s="1"/>
  <c r="FW17" i="2" s="1"/>
  <c r="BI23" i="2" s="1"/>
  <c r="BI25" i="2" l="1"/>
  <c r="BI26" i="2" s="1"/>
  <c r="BI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H16" authorId="0" shapeId="0" xr:uid="{CD4AD372-9D89-49E7-B67A-03F23BA67949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tax legislation</t>
        </r>
      </text>
    </comment>
    <comment ref="AO16" authorId="0" shapeId="0" xr:uid="{23CEF960-23D3-4234-9A71-9F5F76A023AD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adjusted for tax change</t>
        </r>
      </text>
    </comment>
  </commentList>
</comments>
</file>

<file path=xl/sharedStrings.xml><?xml version="1.0" encoding="utf-8"?>
<sst xmlns="http://schemas.openxmlformats.org/spreadsheetml/2006/main" count="144" uniqueCount="136">
  <si>
    <t>MSFT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</si>
  <si>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</si>
  <si>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</si>
  <si>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</si>
  <si>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</si>
  <si>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</si>
  <si>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</si>
  <si>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</si>
  <si>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</si>
  <si>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</si>
  <si>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Q420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</si>
  <si>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</si>
  <si>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</si>
  <si>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</si>
  <si>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</si>
  <si>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</si>
  <si>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</si>
  <si>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</si>
  <si>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</si>
  <si>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</si>
  <si>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</si>
  <si>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</si>
  <si>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</si>
  <si>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</si>
  <si>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</si>
  <si>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</si>
  <si>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Q421</t>
  </si>
  <si>
    <t>Cost of sales</t>
  </si>
  <si>
    <t>Product cost</t>
  </si>
  <si>
    <t>Service cost</t>
  </si>
  <si>
    <t>Product revenue</t>
  </si>
  <si>
    <t>Service revenue</t>
  </si>
  <si>
    <t>Gross profit</t>
  </si>
  <si>
    <t>R&amp;D</t>
  </si>
  <si>
    <t>S&amp;M</t>
  </si>
  <si>
    <t>G&amp;A</t>
  </si>
  <si>
    <t>Operating profit</t>
  </si>
  <si>
    <t>Other income</t>
  </si>
  <si>
    <t>Pretax profit</t>
  </si>
  <si>
    <t>Taxes</t>
  </si>
  <si>
    <t>Net profit</t>
  </si>
  <si>
    <t>EPS</t>
  </si>
  <si>
    <t>Gross Margin</t>
  </si>
  <si>
    <t>Productivity and Business Processes</t>
  </si>
  <si>
    <t>Products/Services</t>
  </si>
  <si>
    <t>Competitors</t>
  </si>
  <si>
    <t>Office</t>
  </si>
  <si>
    <t>LinkedIn</t>
  </si>
  <si>
    <t>Dynamics</t>
  </si>
  <si>
    <t>Apple, Cisco, Facebook, Google, IBM, Okta, Proofpoint, Slack, Symantec, Zoom</t>
  </si>
  <si>
    <t>Description</t>
  </si>
  <si>
    <t>Job board, premium subscriptions</t>
  </si>
  <si>
    <t>Cloud-based and on-premise solution</t>
  </si>
  <si>
    <t>Other job boards</t>
  </si>
  <si>
    <t>Oracle, Salesforce.com, SAP</t>
  </si>
  <si>
    <t>Reportable Segments</t>
  </si>
  <si>
    <t>Intelligent Cloud</t>
  </si>
  <si>
    <t>Azure</t>
  </si>
  <si>
    <t>Consulting</t>
  </si>
  <si>
    <t>Cloud services, IaaS (read more)</t>
  </si>
  <si>
    <t>MS Office products, Office 365 (SaaS, read more)</t>
  </si>
  <si>
    <t>Consulting on MS products</t>
  </si>
  <si>
    <t>Amazon, Google, IBM, Oracle, VMware, HP, SAP</t>
  </si>
  <si>
    <t>More Personal Computing</t>
  </si>
  <si>
    <t>Windows</t>
  </si>
  <si>
    <t>Devices</t>
  </si>
  <si>
    <t>Surface and PC accessories</t>
  </si>
  <si>
    <t>Gaming</t>
  </si>
  <si>
    <t>Search</t>
  </si>
  <si>
    <t>MS Bing</t>
  </si>
  <si>
    <t>Apple, Google</t>
  </si>
  <si>
    <t>-</t>
  </si>
  <si>
    <t>All computer, tablet and hardware manufacturers</t>
  </si>
  <si>
    <t>Amazon, Apple, Facebook, Google, Tencent, Netflix, Hulu, Nintendo, Sony</t>
  </si>
  <si>
    <t>Xbox, Xbox Live, Project xCloud</t>
  </si>
  <si>
    <t>Google</t>
  </si>
  <si>
    <t>Operating Margin</t>
  </si>
  <si>
    <t>S&amp;M Margin</t>
  </si>
  <si>
    <t>Tax rate</t>
  </si>
  <si>
    <t>Revenue y/y</t>
  </si>
  <si>
    <t>Q117</t>
  </si>
  <si>
    <t>Q217</t>
  </si>
  <si>
    <t>Q317</t>
  </si>
  <si>
    <t>Q417</t>
  </si>
  <si>
    <t>Non-GAAP</t>
  </si>
  <si>
    <t>Service revenue y/y</t>
  </si>
  <si>
    <t>Maturity</t>
  </si>
  <si>
    <t>Discount rate</t>
  </si>
  <si>
    <t>NPV</t>
  </si>
  <si>
    <t>Value</t>
  </si>
  <si>
    <t>Per share</t>
  </si>
  <si>
    <t>Net cash</t>
  </si>
  <si>
    <t>Current price</t>
  </si>
  <si>
    <t>Variance</t>
  </si>
  <si>
    <t>Consensus</t>
  </si>
  <si>
    <t>Product Margin</t>
  </si>
  <si>
    <t>Service Margin</t>
  </si>
  <si>
    <t>R&amp;D y/y</t>
  </si>
  <si>
    <t>G&amp;A y/y</t>
  </si>
  <si>
    <t>Product revenue y/y</t>
  </si>
  <si>
    <t>Earnings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</si>
  <si>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</si>
  <si>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</si>
  <si>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</si>
  <si>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</si>
  <si>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</si>
  <si>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</si>
  <si>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</si>
  <si>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</si>
  <si>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</si>
  <si>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</si>
  <si>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</si>
  <si>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</si>
  <si>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A/R</t>
  </si>
  <si>
    <t>Inventories</t>
  </si>
  <si>
    <t>OCA</t>
  </si>
  <si>
    <t>PPE</t>
  </si>
  <si>
    <t>Goodwill</t>
  </si>
  <si>
    <t>Intangibles</t>
  </si>
  <si>
    <t>ONCA</t>
  </si>
  <si>
    <t>Assets</t>
  </si>
  <si>
    <t>A/P</t>
  </si>
  <si>
    <t>D/R</t>
  </si>
  <si>
    <t>ONCL</t>
  </si>
  <si>
    <t>OCL</t>
  </si>
  <si>
    <t>Liabilities</t>
  </si>
  <si>
    <t>S/E</t>
  </si>
  <si>
    <t xml:space="preserve">L+S/E </t>
  </si>
  <si>
    <t>Operating ROU</t>
  </si>
  <si>
    <t>O/L</t>
  </si>
  <si>
    <t>huge cost cutting in 2023/24?</t>
  </si>
  <si>
    <t>Q125</t>
  </si>
  <si>
    <t>Q225</t>
  </si>
  <si>
    <t>Q325</t>
  </si>
  <si>
    <t>Q425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</si>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</sst>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0" fillId="0" borderId="0" xfId="0" applyNumberFormat="1"/>
    <xf numFmtId="37" fontId="0" fillId="0" borderId="0" xfId="0" applyNumberFormat="1"/>
    <xf numFmtId="3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22860</xdr:colOff>
      <xdr:row>0</xdr:row>
      <xdr:rowOff>0</xdr:rowOff>
    </xdr:from>
    <xdr:to>
      <xdr:col>37</xdr:col>
      <xdr:colOff>22860</xdr:colOff>
      <xdr:row>33</xdr:row>
      <xdr:rowOff>53340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6B609BE-BA92-4920-A17D-F10B62F0AB7D}"/>
            </a:ext>
          </a:extLst>
        </xdr:cNvPr>
        <xdr:cNvCxnSpPr/>
      </xdr:nvCxnSpPr>
      <xdr:spPr>
        <a:xfrm>
          <a:off x="27172920" y="0"/>
          <a:ext cx="0" cy="6088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38100</xdr:colOff>
      <xdr:row>0</xdr:row>
      <xdr:rowOff>0</xdr:rowOff>
    </xdr:from>
    <xdr:to>
      <xdr:col>47</xdr:col>
      <xdr:colOff>38100</xdr:colOff>
      <xdr:row>33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596BC6D-11A8-4FEC-83B5-25F4DD407970}"/>
            </a:ext>
          </a:extLst>
        </xdr:cNvPr>
        <xdr:cNvCxnSpPr/>
      </xdr:nvCxnSpPr>
      <xdr:spPr>
        <a:xfrm>
          <a:off x="3348228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6CCD-BD1A-4D1D-9151-958EB21CEF64}">
  <dimension ref="B2:M15"/>
  <sheetViews>
    <sheetView workbookViewId="0">
      <selection activeCell="D4" sqref="D4"/>
    </sheetView>
  </sheetViews>
  <sheetFormatPr defaultRowHeight="14.4" x14ac:dyDescent="0.3"/>
  <cols>
    <col min="5" max="7" width="15.77734375" customWidth="1"/>
    <col min="9" max="9" width="30.44140625" bestFit="1" customWidth="1"/>
    <col min="10" max="10" width="15.5546875" bestFit="1" customWidth="1"/>
    <col min="11" max="11" width="50.21875" bestFit="1" customWidth="1"/>
    <col min="12" max="12" width="65.6640625" bestFit="1" customWidth="1"/>
  </cols>
  <sheetData>
    <row r="2" spans="2:13" x14ac:dyDescent="0.3">
      <c r="E2" s="1" t="s">
        <v>8</v>
      </c>
      <c r="F2" s="1" t="s">
        <v>9</v>
      </c>
      <c r="G2" s="1" t="s">
        <v>100</v>
      </c>
      <c r="I2" s="20" t="s">
        <v>55</v>
      </c>
      <c r="J2" s="21" t="s">
        <v>44</v>
      </c>
      <c r="K2" s="21" t="s">
        <v>50</v>
      </c>
      <c r="L2" s="22" t="s">
        <v>45</v>
      </c>
      <c r="M2" s="10"/>
    </row>
    <row r="3" spans="2:13" x14ac:dyDescent="0.3">
      <c r="B3" s="6" t="s">
        <v>0</v>
      </c>
      <c r="C3" t="s">
        <v>1</v>
      </c>
      <c r="D3" s="19">
        <v>435.28</v>
      </c>
      <c r="E3" s="2">
        <v>45781</v>
      </c>
      <c r="F3" s="2">
        <f ca="1">TODAY()</f>
        <v>45781</v>
      </c>
      <c r="G3" s="2">
        <v>45868</v>
      </c>
      <c r="I3" s="11" t="s">
        <v>43</v>
      </c>
      <c r="J3" s="10" t="s">
        <v>46</v>
      </c>
      <c r="K3" s="10" t="s">
        <v>60</v>
      </c>
      <c r="L3" s="12" t="s">
        <v>49</v>
      </c>
      <c r="M3" s="10"/>
    </row>
    <row r="4" spans="2:13" x14ac:dyDescent="0.3">
      <c r="C4" t="s">
        <v>2</v>
      </c>
      <c r="D4" s="5">
        <f>7432.5</f>
        <v>7432.5</v>
      </c>
      <c r="E4" s="1" t="s">
        <v>132</v>
      </c>
      <c r="F4" s="1"/>
      <c r="I4" s="13"/>
      <c r="J4" s="10" t="s">
        <v>47</v>
      </c>
      <c r="K4" s="10" t="s">
        <v>51</v>
      </c>
      <c r="L4" s="12" t="s">
        <v>53</v>
      </c>
      <c r="M4" s="10"/>
    </row>
    <row r="5" spans="2:13" x14ac:dyDescent="0.3">
      <c r="C5" t="s">
        <v>3</v>
      </c>
      <c r="D5" s="5">
        <f>D3*D4</f>
        <v>3235218.5999999996</v>
      </c>
      <c r="E5" s="1"/>
      <c r="F5" s="1"/>
      <c r="I5" s="13"/>
      <c r="J5" s="10" t="s">
        <v>48</v>
      </c>
      <c r="K5" s="10" t="s">
        <v>52</v>
      </c>
      <c r="L5" s="12" t="s">
        <v>54</v>
      </c>
      <c r="M5" s="10"/>
    </row>
    <row r="6" spans="2:13" x14ac:dyDescent="0.3">
      <c r="C6" t="s">
        <v>4</v>
      </c>
      <c r="D6" s="5">
        <f>17482+54073+15581</f>
        <v>87136</v>
      </c>
      <c r="E6" s="1" t="s">
        <v>132</v>
      </c>
      <c r="F6" s="1"/>
      <c r="I6" s="11" t="s">
        <v>56</v>
      </c>
      <c r="J6" s="10" t="s">
        <v>57</v>
      </c>
      <c r="K6" s="10" t="s">
        <v>59</v>
      </c>
      <c r="L6" s="12" t="s">
        <v>62</v>
      </c>
      <c r="M6" s="10"/>
    </row>
    <row r="7" spans="2:13" x14ac:dyDescent="0.3">
      <c r="C7" t="s">
        <v>5</v>
      </c>
      <c r="D7" s="5">
        <f>5248+39722</f>
        <v>44970</v>
      </c>
      <c r="E7" s="1" t="s">
        <v>132</v>
      </c>
      <c r="F7" s="1"/>
      <c r="I7" s="13"/>
      <c r="J7" s="10" t="s">
        <v>58</v>
      </c>
      <c r="K7" s="10" t="s">
        <v>61</v>
      </c>
      <c r="L7" s="12" t="s">
        <v>71</v>
      </c>
      <c r="M7" s="10"/>
    </row>
    <row r="8" spans="2:13" x14ac:dyDescent="0.3">
      <c r="C8" t="s">
        <v>6</v>
      </c>
      <c r="D8" s="5">
        <f>D6-D7</f>
        <v>42166</v>
      </c>
      <c r="E8" s="1"/>
      <c r="F8" s="1"/>
      <c r="I8" s="11" t="s">
        <v>63</v>
      </c>
      <c r="J8" s="10" t="s">
        <v>64</v>
      </c>
      <c r="K8" s="10" t="s">
        <v>64</v>
      </c>
      <c r="L8" s="12" t="s">
        <v>70</v>
      </c>
      <c r="M8" s="10"/>
    </row>
    <row r="9" spans="2:13" x14ac:dyDescent="0.3">
      <c r="C9" t="s">
        <v>7</v>
      </c>
      <c r="D9" s="5">
        <f>D5-D8</f>
        <v>3193052.5999999996</v>
      </c>
      <c r="E9" s="1"/>
      <c r="F9" s="1"/>
      <c r="I9" s="13"/>
      <c r="J9" s="10" t="s">
        <v>65</v>
      </c>
      <c r="K9" s="10" t="s">
        <v>66</v>
      </c>
      <c r="L9" s="12" t="s">
        <v>72</v>
      </c>
      <c r="M9" s="10"/>
    </row>
    <row r="10" spans="2:13" x14ac:dyDescent="0.3">
      <c r="I10" s="13"/>
      <c r="J10" s="10" t="s">
        <v>67</v>
      </c>
      <c r="K10" s="10" t="s">
        <v>74</v>
      </c>
      <c r="L10" s="12" t="s">
        <v>73</v>
      </c>
      <c r="M10" s="10"/>
    </row>
    <row r="11" spans="2:13" x14ac:dyDescent="0.3">
      <c r="I11" s="14"/>
      <c r="J11" s="15" t="s">
        <v>68</v>
      </c>
      <c r="K11" s="15" t="s">
        <v>69</v>
      </c>
      <c r="L11" s="16" t="s">
        <v>75</v>
      </c>
      <c r="M11" s="10"/>
    </row>
    <row r="15" spans="2:13" x14ac:dyDescent="0.3">
      <c r="I15" t="s">
        <v>130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206B-862E-4016-AB7D-796014A07090}">
  <dimension ref="A1:FW54"/>
  <sheetViews>
    <sheetView tabSelected="1" workbookViewId="0">
      <pane xSplit="2" ySplit="2" topLeftCell="AU4" activePane="bottomRight" state="frozen"/>
      <selection pane="topRight" activeCell="C1" sqref="C1"/>
      <selection pane="bottomLeft" activeCell="A3" sqref="A3"/>
      <selection pane="bottomRight" activeCell="BI29" sqref="BI29"/>
    </sheetView>
  </sheetViews>
  <sheetFormatPr defaultRowHeight="14.4" x14ac:dyDescent="0.3"/>
  <cols>
    <col min="2" max="2" width="17.5546875" bestFit="1" customWidth="1"/>
    <col min="3" max="6" width="10.5546875" customWidth="1"/>
    <col min="7" max="22" width="10.5546875" bestFit="1" customWidth="1"/>
    <col min="23" max="38" width="10.5546875" customWidth="1"/>
    <col min="41" max="41" width="9.5546875" bestFit="1" customWidth="1"/>
    <col min="44" max="44" width="9.44140625" bestFit="1" customWidth="1"/>
    <col min="59" max="59" width="8.88671875" customWidth="1"/>
    <col min="60" max="60" width="12" bestFit="1" customWidth="1"/>
    <col min="61" max="61" width="16.21875" bestFit="1" customWidth="1"/>
  </cols>
  <sheetData>
    <row r="1" spans="2:58" x14ac:dyDescent="0.3">
      <c r="C1" s="17">
        <v>42643</v>
      </c>
      <c r="D1" s="17">
        <v>42735</v>
      </c>
      <c r="E1" s="17">
        <v>42825</v>
      </c>
      <c r="F1" s="17">
        <v>42916</v>
      </c>
      <c r="G1" s="17">
        <v>43008</v>
      </c>
      <c r="H1" s="17">
        <v>43100</v>
      </c>
      <c r="I1" s="17">
        <v>43190</v>
      </c>
      <c r="J1" s="17">
        <v>43281</v>
      </c>
      <c r="K1" s="17">
        <v>43373</v>
      </c>
      <c r="L1" s="17">
        <v>43465</v>
      </c>
      <c r="M1" s="17">
        <v>43555</v>
      </c>
      <c r="N1" s="17">
        <v>43646</v>
      </c>
      <c r="O1" s="17">
        <v>43738</v>
      </c>
      <c r="P1" s="17">
        <v>43830</v>
      </c>
      <c r="Q1" s="17">
        <v>43921</v>
      </c>
      <c r="R1" s="17">
        <v>44012</v>
      </c>
      <c r="S1" s="17">
        <v>44104</v>
      </c>
      <c r="T1" s="17">
        <v>44196</v>
      </c>
      <c r="U1" s="17">
        <v>44286</v>
      </c>
      <c r="V1" s="17">
        <v>44377</v>
      </c>
      <c r="W1" s="17">
        <v>44469</v>
      </c>
      <c r="X1" s="17">
        <v>44561</v>
      </c>
      <c r="Y1" s="17">
        <v>44651</v>
      </c>
      <c r="Z1" s="17">
        <v>44742</v>
      </c>
      <c r="AA1" s="17">
        <v>44834</v>
      </c>
      <c r="AB1" s="17">
        <v>44926</v>
      </c>
      <c r="AC1" s="17">
        <v>45016</v>
      </c>
      <c r="AD1" s="17">
        <v>45107</v>
      </c>
      <c r="AE1" s="17">
        <v>45199</v>
      </c>
      <c r="AF1" s="17">
        <v>45291</v>
      </c>
      <c r="AG1" s="17">
        <v>45382</v>
      </c>
      <c r="AH1" s="17">
        <v>45473</v>
      </c>
      <c r="AI1" s="17">
        <v>45565</v>
      </c>
      <c r="AJ1" s="17">
        <v>45657</v>
      </c>
      <c r="AK1" s="17">
        <v>45747</v>
      </c>
      <c r="AL1" s="17">
        <v>45838</v>
      </c>
      <c r="AO1" t="s">
        <v>84</v>
      </c>
    </row>
    <row r="2" spans="2:58" x14ac:dyDescent="0.3">
      <c r="C2" s="3" t="s">
        <v>80</v>
      </c>
      <c r="D2" s="3" t="s">
        <v>81</v>
      </c>
      <c r="E2" s="3" t="s">
        <v>82</v>
      </c>
      <c r="F2" s="3" t="s">
        <v>83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10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105</v>
      </c>
      <c r="AB2" s="3" t="s">
        <v>106</v>
      </c>
      <c r="AC2" s="3" t="s">
        <v>107</v>
      </c>
      <c r="AD2" s="3" t="s">
        <v>108</v>
      </c>
      <c r="AE2" s="3" t="s">
        <v>109</v>
      </c>
      <c r="AF2" s="3" t="s">
        <v>110</v>
      </c>
      <c r="AG2" s="3" t="s">
        <v>111</v>
      </c>
      <c r="AH2" s="3" t="s">
        <v>112</v>
      </c>
      <c r="AI2" s="3" t="s">
        <v>131</v>
      </c>
      <c r="AJ2" s="3" t="s">
        <v>132</v>
      </c>
      <c r="AK2" s="3" t="s">
        <v>133</v>
      </c>
      <c r="AL2" s="3" t="s">
        <v>134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v>2022</v>
      </c>
      <c r="AT2">
        <v>2023</v>
      </c>
      <c r="AU2">
        <v>2024</v>
      </c>
      <c r="AV2">
        <v>2025</v>
      </c>
      <c r="AW2">
        <v>2026</v>
      </c>
      <c r="AX2">
        <v>2027</v>
      </c>
      <c r="AY2">
        <v>2028</v>
      </c>
      <c r="AZ2">
        <v>2029</v>
      </c>
      <c r="BA2">
        <v>2030</v>
      </c>
      <c r="BB2">
        <v>2031</v>
      </c>
      <c r="BC2">
        <v>2032</v>
      </c>
      <c r="BD2">
        <v>2033</v>
      </c>
      <c r="BE2">
        <v>2034</v>
      </c>
      <c r="BF2">
        <v>2035</v>
      </c>
    </row>
    <row r="3" spans="2:58" x14ac:dyDescent="0.3">
      <c r="B3" t="s">
        <v>30</v>
      </c>
      <c r="C3" s="4">
        <v>14698</v>
      </c>
      <c r="D3" s="4">
        <v>18273</v>
      </c>
      <c r="E3" s="4">
        <v>14513</v>
      </c>
      <c r="F3" s="4">
        <v>16057</v>
      </c>
      <c r="G3" s="4">
        <v>14298</v>
      </c>
      <c r="H3" s="4">
        <v>17926</v>
      </c>
      <c r="I3" s="4">
        <v>15114</v>
      </c>
      <c r="J3" s="4">
        <v>17159</v>
      </c>
      <c r="K3" s="4">
        <v>17299</v>
      </c>
      <c r="L3" s="4">
        <v>16219</v>
      </c>
      <c r="M3" s="4">
        <v>15448</v>
      </c>
      <c r="N3" s="4">
        <v>17103</v>
      </c>
      <c r="O3" s="4">
        <v>15768</v>
      </c>
      <c r="P3" s="4">
        <v>18255</v>
      </c>
      <c r="Q3" s="4">
        <v>15871</v>
      </c>
      <c r="R3" s="4">
        <v>18147</v>
      </c>
      <c r="S3" s="4">
        <v>15803</v>
      </c>
      <c r="T3" s="4">
        <v>19460</v>
      </c>
      <c r="U3" s="4">
        <v>16873</v>
      </c>
      <c r="V3" s="4">
        <v>18938</v>
      </c>
      <c r="W3" s="4">
        <v>16631</v>
      </c>
      <c r="X3" s="4">
        <v>20779</v>
      </c>
      <c r="Y3" s="4">
        <v>17366</v>
      </c>
      <c r="Z3" s="4">
        <v>17956</v>
      </c>
      <c r="AA3" s="4">
        <v>15741</v>
      </c>
      <c r="AB3" s="4">
        <v>16517</v>
      </c>
      <c r="AC3" s="4">
        <v>15588</v>
      </c>
      <c r="AD3" s="4">
        <v>16853</v>
      </c>
      <c r="AE3" s="4">
        <v>15535</v>
      </c>
      <c r="AF3" s="4">
        <v>15535</v>
      </c>
      <c r="AG3" s="4">
        <v>18941</v>
      </c>
      <c r="AH3" s="4">
        <v>13217</v>
      </c>
      <c r="AI3" s="4">
        <v>15272</v>
      </c>
      <c r="AJ3" s="4">
        <v>16219</v>
      </c>
      <c r="AK3" s="4">
        <v>15319</v>
      </c>
      <c r="AL3" s="4">
        <f t="shared" ref="AL3" si="0">AH3*0.99</f>
        <v>13084.83</v>
      </c>
      <c r="AN3" s="5">
        <f>SUM(C3:F3)</f>
        <v>63541</v>
      </c>
      <c r="AO3" s="5">
        <f>SUM(G3:J3)</f>
        <v>64497</v>
      </c>
      <c r="AP3" s="5">
        <f>SUM(K3:N3)</f>
        <v>66069</v>
      </c>
      <c r="AQ3" s="5">
        <f>SUM(O3:R3)</f>
        <v>68041</v>
      </c>
      <c r="AR3" s="5">
        <f>SUM(S3:V3)</f>
        <v>71074</v>
      </c>
      <c r="AS3" s="5">
        <f>SUM(W3:Z3)</f>
        <v>72732</v>
      </c>
      <c r="AT3" s="5">
        <f>SUM(AA3:AD3)</f>
        <v>64699</v>
      </c>
      <c r="AU3" s="5">
        <f>SUM(AE3:AH3)</f>
        <v>63228</v>
      </c>
      <c r="AV3" s="5">
        <f>SUM(AI3:AL3)</f>
        <v>59894.83</v>
      </c>
      <c r="AW3" s="5">
        <f>AV3*1.01</f>
        <v>60493.778300000005</v>
      </c>
      <c r="AX3" s="5">
        <f t="shared" ref="AX3:BF3" si="1">AW3*1.01</f>
        <v>61098.716083000007</v>
      </c>
      <c r="AY3" s="5">
        <f t="shared" si="1"/>
        <v>61709.703243830008</v>
      </c>
      <c r="AZ3" s="5">
        <f t="shared" si="1"/>
        <v>62326.80027626831</v>
      </c>
      <c r="BA3" s="5">
        <f t="shared" si="1"/>
        <v>62950.068279030995</v>
      </c>
      <c r="BB3" s="5">
        <f t="shared" si="1"/>
        <v>63579.568961821307</v>
      </c>
      <c r="BC3" s="5">
        <f t="shared" si="1"/>
        <v>64215.364651439522</v>
      </c>
      <c r="BD3" s="5">
        <f t="shared" si="1"/>
        <v>64857.518297953917</v>
      </c>
      <c r="BE3" s="5">
        <f t="shared" si="1"/>
        <v>65506.093480933458</v>
      </c>
      <c r="BF3" s="5">
        <f t="shared" si="1"/>
        <v>66161.1544157428</v>
      </c>
    </row>
    <row r="4" spans="2:58" x14ac:dyDescent="0.3">
      <c r="B4" t="s">
        <v>31</v>
      </c>
      <c r="C4" s="4">
        <v>6960</v>
      </c>
      <c r="D4" s="4">
        <v>7553</v>
      </c>
      <c r="E4" s="4">
        <v>8699</v>
      </c>
      <c r="F4" s="4">
        <v>9548</v>
      </c>
      <c r="G4" s="4">
        <v>10240</v>
      </c>
      <c r="H4" s="4">
        <v>10992</v>
      </c>
      <c r="I4" s="4">
        <v>11705</v>
      </c>
      <c r="J4" s="4">
        <v>12926</v>
      </c>
      <c r="K4" s="4">
        <v>11785</v>
      </c>
      <c r="L4" s="4">
        <v>16252</v>
      </c>
      <c r="M4" s="4">
        <v>15123</v>
      </c>
      <c r="N4" s="4">
        <v>16614</v>
      </c>
      <c r="O4" s="4">
        <v>17287</v>
      </c>
      <c r="P4" s="4">
        <v>18651</v>
      </c>
      <c r="Q4" s="4">
        <v>19150</v>
      </c>
      <c r="R4" s="4">
        <v>19886</v>
      </c>
      <c r="S4" s="4">
        <v>21351</v>
      </c>
      <c r="T4" s="4">
        <v>23616</v>
      </c>
      <c r="U4" s="4">
        <v>24833</v>
      </c>
      <c r="V4" s="4">
        <v>27214</v>
      </c>
      <c r="W4" s="4">
        <v>28686</v>
      </c>
      <c r="X4" s="4">
        <v>30949</v>
      </c>
      <c r="Y4" s="4">
        <v>31994</v>
      </c>
      <c r="Z4" s="4">
        <v>33909</v>
      </c>
      <c r="AA4" s="4">
        <v>34381</v>
      </c>
      <c r="AB4" s="4">
        <v>36230</v>
      </c>
      <c r="AC4" s="4">
        <v>37269</v>
      </c>
      <c r="AD4" s="4">
        <v>39336</v>
      </c>
      <c r="AE4" s="4">
        <v>40982</v>
      </c>
      <c r="AF4" s="4">
        <v>40982</v>
      </c>
      <c r="AG4" s="4">
        <v>43079</v>
      </c>
      <c r="AH4" s="4">
        <v>51510</v>
      </c>
      <c r="AI4" s="4">
        <v>50313</v>
      </c>
      <c r="AJ4" s="4">
        <v>53413</v>
      </c>
      <c r="AK4" s="4">
        <v>54747</v>
      </c>
      <c r="AL4" s="4">
        <f>AH4*1.2</f>
        <v>61812</v>
      </c>
      <c r="AN4" s="5">
        <f>SUM(C4:F4)</f>
        <v>32760</v>
      </c>
      <c r="AO4" s="5">
        <f>SUM(G4:J4)</f>
        <v>45863</v>
      </c>
      <c r="AP4" s="5">
        <f>SUM(K4:N4)</f>
        <v>59774</v>
      </c>
      <c r="AQ4" s="5">
        <f>SUM(O4:R4)</f>
        <v>74974</v>
      </c>
      <c r="AR4" s="5">
        <f>SUM(S4:V4)</f>
        <v>97014</v>
      </c>
      <c r="AS4" s="5">
        <f>SUM(W4:Z4)</f>
        <v>125538</v>
      </c>
      <c r="AT4" s="5">
        <f>SUM(AA4:AD4)</f>
        <v>147216</v>
      </c>
      <c r="AU4" s="5">
        <f>SUM(AE4:AH4)</f>
        <v>176553</v>
      </c>
      <c r="AV4" s="5">
        <f>SUM(AI4:AL4)</f>
        <v>220285</v>
      </c>
      <c r="AW4" s="5">
        <f>AV4*1.15</f>
        <v>253327.74999999997</v>
      </c>
      <c r="AX4" s="5">
        <f>AW4*1.08</f>
        <v>273593.96999999997</v>
      </c>
      <c r="AY4" s="5">
        <f>AX4*1.06</f>
        <v>290009.60819999996</v>
      </c>
      <c r="AZ4" s="5">
        <f>AY4*1.05</f>
        <v>304510.08860999998</v>
      </c>
      <c r="BA4" s="5">
        <f>AZ4*1.04</f>
        <v>316690.49215439998</v>
      </c>
      <c r="BB4" s="5">
        <f>BA4*1.03</f>
        <v>326191.20691903197</v>
      </c>
      <c r="BC4" s="5">
        <f>BB4*1.03</f>
        <v>335976.94312660291</v>
      </c>
      <c r="BD4" s="5">
        <f>BC4*1.02</f>
        <v>342696.48198913498</v>
      </c>
      <c r="BE4" s="5">
        <f t="shared" ref="BE4:BF4" si="2">BD4*1.02</f>
        <v>349550.41162891767</v>
      </c>
      <c r="BF4" s="5">
        <f t="shared" si="2"/>
        <v>356541.41986149602</v>
      </c>
    </row>
    <row r="5" spans="2:58" s="6" customFormat="1" x14ac:dyDescent="0.3">
      <c r="B5" s="6" t="s">
        <v>11</v>
      </c>
      <c r="C5" s="7">
        <f t="shared" ref="C5:R5" si="3">C3+C4</f>
        <v>21658</v>
      </c>
      <c r="D5" s="7">
        <f t="shared" si="3"/>
        <v>25826</v>
      </c>
      <c r="E5" s="7">
        <f t="shared" si="3"/>
        <v>23212</v>
      </c>
      <c r="F5" s="7">
        <f t="shared" si="3"/>
        <v>25605</v>
      </c>
      <c r="G5" s="7">
        <f t="shared" si="3"/>
        <v>24538</v>
      </c>
      <c r="H5" s="7">
        <f t="shared" si="3"/>
        <v>28918</v>
      </c>
      <c r="I5" s="7">
        <f t="shared" si="3"/>
        <v>26819</v>
      </c>
      <c r="J5" s="7">
        <f t="shared" si="3"/>
        <v>30085</v>
      </c>
      <c r="K5" s="7">
        <f t="shared" si="3"/>
        <v>29084</v>
      </c>
      <c r="L5" s="7">
        <f t="shared" si="3"/>
        <v>32471</v>
      </c>
      <c r="M5" s="7">
        <f t="shared" si="3"/>
        <v>30571</v>
      </c>
      <c r="N5" s="7">
        <f t="shared" si="3"/>
        <v>33717</v>
      </c>
      <c r="O5" s="7">
        <f t="shared" si="3"/>
        <v>33055</v>
      </c>
      <c r="P5" s="7">
        <f t="shared" si="3"/>
        <v>36906</v>
      </c>
      <c r="Q5" s="7">
        <f t="shared" si="3"/>
        <v>35021</v>
      </c>
      <c r="R5" s="7">
        <f t="shared" si="3"/>
        <v>38033</v>
      </c>
      <c r="S5" s="7">
        <f t="shared" ref="S5:V5" si="4">S3+S4</f>
        <v>37154</v>
      </c>
      <c r="T5" s="7">
        <f t="shared" si="4"/>
        <v>43076</v>
      </c>
      <c r="U5" s="7">
        <f t="shared" si="4"/>
        <v>41706</v>
      </c>
      <c r="V5" s="7">
        <f t="shared" si="4"/>
        <v>46152</v>
      </c>
      <c r="W5" s="7">
        <f t="shared" ref="W5:X5" si="5">W3+W4</f>
        <v>45317</v>
      </c>
      <c r="X5" s="7">
        <f t="shared" si="5"/>
        <v>51728</v>
      </c>
      <c r="Y5" s="7">
        <f t="shared" ref="Y5" si="6">Y3+Y4</f>
        <v>49360</v>
      </c>
      <c r="Z5" s="7">
        <f t="shared" ref="Z5" si="7">Z3+Z4</f>
        <v>51865</v>
      </c>
      <c r="AA5" s="7">
        <f t="shared" ref="AA5" si="8">AA3+AA4</f>
        <v>50122</v>
      </c>
      <c r="AB5" s="7">
        <f t="shared" ref="AB5:AC5" si="9">AB3+AB4</f>
        <v>52747</v>
      </c>
      <c r="AC5" s="7">
        <f t="shared" si="9"/>
        <v>52857</v>
      </c>
      <c r="AD5" s="7">
        <f t="shared" ref="AD5:AE5" si="10">AD3+AD4</f>
        <v>56189</v>
      </c>
      <c r="AE5" s="7">
        <f t="shared" si="10"/>
        <v>56517</v>
      </c>
      <c r="AF5" s="7">
        <f t="shared" ref="AF5:AL5" si="11">AF3+AF4</f>
        <v>56517</v>
      </c>
      <c r="AG5" s="7">
        <f t="shared" si="11"/>
        <v>62020</v>
      </c>
      <c r="AH5" s="7">
        <f t="shared" si="11"/>
        <v>64727</v>
      </c>
      <c r="AI5" s="7">
        <f t="shared" si="11"/>
        <v>65585</v>
      </c>
      <c r="AJ5" s="7">
        <f t="shared" si="11"/>
        <v>69632</v>
      </c>
      <c r="AK5" s="7">
        <f t="shared" si="11"/>
        <v>70066</v>
      </c>
      <c r="AL5" s="7">
        <f t="shared" si="11"/>
        <v>74896.83</v>
      </c>
      <c r="AN5" s="7">
        <f t="shared" ref="AN5:AR5" si="12">AN3+AN4</f>
        <v>96301</v>
      </c>
      <c r="AO5" s="7">
        <f t="shared" si="12"/>
        <v>110360</v>
      </c>
      <c r="AP5" s="7">
        <f t="shared" si="12"/>
        <v>125843</v>
      </c>
      <c r="AQ5" s="7">
        <f t="shared" si="12"/>
        <v>143015</v>
      </c>
      <c r="AR5" s="7">
        <f t="shared" si="12"/>
        <v>168088</v>
      </c>
      <c r="AS5" s="7">
        <f t="shared" ref="AS5:AT5" si="13">AS3+AS4</f>
        <v>198270</v>
      </c>
      <c r="AT5" s="7">
        <f t="shared" si="13"/>
        <v>211915</v>
      </c>
      <c r="AU5" s="7">
        <f t="shared" ref="AU5" si="14">AU3+AU4</f>
        <v>239781</v>
      </c>
      <c r="AV5" s="7">
        <f t="shared" ref="AV5:BA5" si="15">AV3+AV4</f>
        <v>280179.83</v>
      </c>
      <c r="AW5" s="7">
        <f t="shared" si="15"/>
        <v>313821.52830000001</v>
      </c>
      <c r="AX5" s="7">
        <f t="shared" si="15"/>
        <v>334692.68608299998</v>
      </c>
      <c r="AY5" s="7">
        <f t="shared" si="15"/>
        <v>351719.31144382997</v>
      </c>
      <c r="AZ5" s="7">
        <f t="shared" si="15"/>
        <v>366836.88888626831</v>
      </c>
      <c r="BA5" s="7">
        <f t="shared" si="15"/>
        <v>379640.56043343095</v>
      </c>
      <c r="BB5" s="7">
        <f t="shared" ref="BB5:BD5" si="16">BB3+BB4</f>
        <v>389770.7758808533</v>
      </c>
      <c r="BC5" s="7">
        <f t="shared" si="16"/>
        <v>400192.30777804245</v>
      </c>
      <c r="BD5" s="7">
        <f t="shared" si="16"/>
        <v>407554.00028708891</v>
      </c>
      <c r="BE5" s="7">
        <f t="shared" ref="BE5:BF5" si="17">BE3+BE4</f>
        <v>415056.50510985113</v>
      </c>
      <c r="BF5" s="7">
        <f t="shared" si="17"/>
        <v>422702.5742772388</v>
      </c>
    </row>
    <row r="6" spans="2:58" x14ac:dyDescent="0.3">
      <c r="B6" t="s">
        <v>28</v>
      </c>
      <c r="C6" s="5">
        <v>3581</v>
      </c>
      <c r="D6" s="5">
        <v>5378</v>
      </c>
      <c r="E6" s="5">
        <v>3075</v>
      </c>
      <c r="F6" s="5">
        <v>3141</v>
      </c>
      <c r="G6" s="5">
        <v>2980</v>
      </c>
      <c r="H6" s="5">
        <v>5498</v>
      </c>
      <c r="I6" s="5">
        <v>3425</v>
      </c>
      <c r="J6" s="5">
        <v>3517</v>
      </c>
      <c r="K6" s="5">
        <v>3649</v>
      </c>
      <c r="L6" s="5">
        <v>5885</v>
      </c>
      <c r="M6" s="5">
        <v>3441</v>
      </c>
      <c r="N6" s="5">
        <v>3298</v>
      </c>
      <c r="O6" s="5">
        <v>3305</v>
      </c>
      <c r="P6" s="5">
        <v>4966</v>
      </c>
      <c r="Q6" s="5">
        <v>3376</v>
      </c>
      <c r="R6" s="5">
        <v>4370</v>
      </c>
      <c r="S6" s="5">
        <v>3597</v>
      </c>
      <c r="T6" s="5">
        <v>6058</v>
      </c>
      <c r="U6" s="5">
        <v>4277</v>
      </c>
      <c r="V6" s="5">
        <v>4287</v>
      </c>
      <c r="W6" s="5">
        <v>3792</v>
      </c>
      <c r="X6" s="5">
        <v>6331</v>
      </c>
      <c r="Y6" s="5">
        <v>4584</v>
      </c>
      <c r="Z6" s="5">
        <v>4357</v>
      </c>
      <c r="AA6" s="5">
        <v>4302</v>
      </c>
      <c r="AB6" s="5">
        <v>5690</v>
      </c>
      <c r="AC6" s="5">
        <v>3941</v>
      </c>
      <c r="AD6" s="5">
        <v>3871</v>
      </c>
      <c r="AE6" s="5">
        <v>3531</v>
      </c>
      <c r="AF6" s="5">
        <v>3531</v>
      </c>
      <c r="AG6" s="5">
        <v>5964</v>
      </c>
      <c r="AH6" s="5">
        <v>1438</v>
      </c>
      <c r="AI6" s="5">
        <v>3294</v>
      </c>
      <c r="AJ6" s="5">
        <v>3856</v>
      </c>
      <c r="AK6" s="5">
        <v>3037</v>
      </c>
      <c r="AL6" s="5">
        <f t="shared" ref="AL6" si="18">AL3*0.22</f>
        <v>2878.6626000000001</v>
      </c>
      <c r="AN6" s="5">
        <f>SUM(C6:F6)</f>
        <v>15175</v>
      </c>
      <c r="AO6" s="5">
        <f>SUM(G6:J6)</f>
        <v>15420</v>
      </c>
      <c r="AP6" s="5">
        <f>SUM(K6:N6)</f>
        <v>16273</v>
      </c>
      <c r="AQ6" s="5">
        <f>SUM(O6:R6)</f>
        <v>16017</v>
      </c>
      <c r="AR6" s="5">
        <f>SUM(S6:V6)</f>
        <v>18219</v>
      </c>
      <c r="AS6" s="5">
        <f>SUM(W6:Z6)</f>
        <v>19064</v>
      </c>
      <c r="AT6" s="5">
        <f>SUM(AA6:AD6)</f>
        <v>17804</v>
      </c>
      <c r="AU6" s="5">
        <f>SUM(AE6:AH6)</f>
        <v>14464</v>
      </c>
      <c r="AV6" s="5">
        <f>SUM(AI6:AL6)</f>
        <v>13065.6626</v>
      </c>
      <c r="AW6" s="5">
        <f t="shared" ref="AW6:BD6" si="19">AW3*0.23</f>
        <v>13913.569009000003</v>
      </c>
      <c r="AX6" s="5">
        <f t="shared" si="19"/>
        <v>14052.704699090002</v>
      </c>
      <c r="AY6" s="5">
        <f t="shared" si="19"/>
        <v>14193.231746080903</v>
      </c>
      <c r="AZ6" s="5">
        <f t="shared" si="19"/>
        <v>14335.164063541712</v>
      </c>
      <c r="BA6" s="5">
        <f t="shared" si="19"/>
        <v>14478.515704177129</v>
      </c>
      <c r="BB6" s="5">
        <f t="shared" si="19"/>
        <v>14623.300861218901</v>
      </c>
      <c r="BC6" s="5">
        <f t="shared" si="19"/>
        <v>14769.533869831092</v>
      </c>
      <c r="BD6" s="5">
        <f t="shared" si="19"/>
        <v>14917.229208529401</v>
      </c>
      <c r="BE6" s="5">
        <f t="shared" ref="BE6:BF6" si="20">BE3*0.23</f>
        <v>15066.401500614696</v>
      </c>
      <c r="BF6" s="5">
        <f t="shared" si="20"/>
        <v>15217.065515620845</v>
      </c>
    </row>
    <row r="7" spans="2:58" x14ac:dyDescent="0.3">
      <c r="B7" t="s">
        <v>29</v>
      </c>
      <c r="C7" s="4">
        <v>4263</v>
      </c>
      <c r="D7" s="4">
        <v>4523</v>
      </c>
      <c r="E7" s="4">
        <v>4985</v>
      </c>
      <c r="F7" s="4">
        <v>5315</v>
      </c>
      <c r="G7" s="4">
        <v>5298</v>
      </c>
      <c r="H7" s="4">
        <v>5566</v>
      </c>
      <c r="I7" s="4">
        <v>5844</v>
      </c>
      <c r="J7" s="4">
        <v>6225</v>
      </c>
      <c r="K7" s="4">
        <v>6256</v>
      </c>
      <c r="L7" s="4">
        <v>6538</v>
      </c>
      <c r="M7" s="4">
        <v>6729</v>
      </c>
      <c r="N7" s="4">
        <v>7114</v>
      </c>
      <c r="O7" s="4">
        <v>7101</v>
      </c>
      <c r="P7" s="4">
        <v>7392</v>
      </c>
      <c r="Q7" s="4">
        <v>7599</v>
      </c>
      <c r="R7" s="4">
        <v>7969</v>
      </c>
      <c r="S7" s="4">
        <v>7405</v>
      </c>
      <c r="T7" s="5">
        <v>8136</v>
      </c>
      <c r="U7" s="5">
        <v>8768</v>
      </c>
      <c r="V7" s="5">
        <v>9704</v>
      </c>
      <c r="W7" s="5">
        <v>9854</v>
      </c>
      <c r="X7" s="5">
        <v>11798</v>
      </c>
      <c r="Y7" s="5">
        <v>11031</v>
      </c>
      <c r="Z7" s="5">
        <v>12072</v>
      </c>
      <c r="AA7" s="5">
        <v>11150</v>
      </c>
      <c r="AB7" s="5">
        <v>11798</v>
      </c>
      <c r="AC7" s="5">
        <v>12187</v>
      </c>
      <c r="AD7" s="5">
        <v>12924</v>
      </c>
      <c r="AE7" s="5">
        <v>12771</v>
      </c>
      <c r="AF7" s="5">
        <v>12771</v>
      </c>
      <c r="AG7" s="5">
        <v>13659</v>
      </c>
      <c r="AH7" s="5">
        <v>18246</v>
      </c>
      <c r="AI7" s="5">
        <v>16805</v>
      </c>
      <c r="AJ7" s="5">
        <v>17943</v>
      </c>
      <c r="AK7" s="5">
        <v>18882</v>
      </c>
      <c r="AL7" s="5">
        <f>AL4*0.35</f>
        <v>21634.199999999997</v>
      </c>
      <c r="AN7" s="5">
        <f>SUM(C7:F7)</f>
        <v>19086</v>
      </c>
      <c r="AO7" s="5">
        <f>SUM(G7:J7)</f>
        <v>22933</v>
      </c>
      <c r="AP7" s="5">
        <f>SUM(K7:N7)</f>
        <v>26637</v>
      </c>
      <c r="AQ7" s="5">
        <f>SUM(O7:R7)</f>
        <v>30061</v>
      </c>
      <c r="AR7" s="5">
        <f>SUM(S7:V7)</f>
        <v>34013</v>
      </c>
      <c r="AS7" s="5">
        <f>SUM(W7:Z7)</f>
        <v>44755</v>
      </c>
      <c r="AT7" s="5">
        <f>SUM(AA7:AD7)</f>
        <v>48059</v>
      </c>
      <c r="AU7" s="5">
        <f>SUM(AE7:AH7)</f>
        <v>57447</v>
      </c>
      <c r="AV7" s="5">
        <f>SUM(AI7:AL7)</f>
        <v>75264.2</v>
      </c>
      <c r="AW7" s="5">
        <f>AW4*0.33</f>
        <v>83598.157500000001</v>
      </c>
      <c r="AX7" s="5">
        <f t="shared" ref="AX7:BF7" si="21">AX4*0.33</f>
        <v>90286.0101</v>
      </c>
      <c r="AY7" s="5">
        <f t="shared" si="21"/>
        <v>95703.17070599999</v>
      </c>
      <c r="AZ7" s="5">
        <f t="shared" si="21"/>
        <v>100488.3292413</v>
      </c>
      <c r="BA7" s="5">
        <f t="shared" si="21"/>
        <v>104507.862410952</v>
      </c>
      <c r="BB7" s="5">
        <f t="shared" si="21"/>
        <v>107643.09828328056</v>
      </c>
      <c r="BC7" s="5">
        <f t="shared" si="21"/>
        <v>110872.39123177897</v>
      </c>
      <c r="BD7" s="5">
        <f t="shared" si="21"/>
        <v>113089.83905641455</v>
      </c>
      <c r="BE7" s="5">
        <f t="shared" si="21"/>
        <v>115351.63583754284</v>
      </c>
      <c r="BF7" s="5">
        <f t="shared" si="21"/>
        <v>117658.66855429369</v>
      </c>
    </row>
    <row r="8" spans="2:58" x14ac:dyDescent="0.3">
      <c r="B8" t="s">
        <v>27</v>
      </c>
      <c r="C8" s="5">
        <f t="shared" ref="C8:R8" si="22">C6+C7</f>
        <v>7844</v>
      </c>
      <c r="D8" s="5">
        <f t="shared" si="22"/>
        <v>9901</v>
      </c>
      <c r="E8" s="5">
        <f t="shared" si="22"/>
        <v>8060</v>
      </c>
      <c r="F8" s="5">
        <f t="shared" si="22"/>
        <v>8456</v>
      </c>
      <c r="G8" s="5">
        <f t="shared" si="22"/>
        <v>8278</v>
      </c>
      <c r="H8" s="5">
        <f t="shared" si="22"/>
        <v>11064</v>
      </c>
      <c r="I8" s="5">
        <f t="shared" si="22"/>
        <v>9269</v>
      </c>
      <c r="J8" s="5">
        <f t="shared" si="22"/>
        <v>9742</v>
      </c>
      <c r="K8" s="5">
        <f t="shared" si="22"/>
        <v>9905</v>
      </c>
      <c r="L8" s="5">
        <f t="shared" si="22"/>
        <v>12423</v>
      </c>
      <c r="M8" s="5">
        <f t="shared" si="22"/>
        <v>10170</v>
      </c>
      <c r="N8" s="5">
        <f t="shared" si="22"/>
        <v>10412</v>
      </c>
      <c r="O8" s="5">
        <f t="shared" si="22"/>
        <v>10406</v>
      </c>
      <c r="P8" s="5">
        <f t="shared" si="22"/>
        <v>12358</v>
      </c>
      <c r="Q8" s="5">
        <f t="shared" si="22"/>
        <v>10975</v>
      </c>
      <c r="R8" s="5">
        <f t="shared" si="22"/>
        <v>12339</v>
      </c>
      <c r="S8" s="5">
        <f t="shared" ref="S8:V8" si="23">S6+S7</f>
        <v>11002</v>
      </c>
      <c r="T8" s="5">
        <f t="shared" si="23"/>
        <v>14194</v>
      </c>
      <c r="U8" s="5">
        <f t="shared" si="23"/>
        <v>13045</v>
      </c>
      <c r="V8" s="5">
        <f t="shared" si="23"/>
        <v>13991</v>
      </c>
      <c r="W8" s="5">
        <f t="shared" ref="W8:X8" si="24">W6+W7</f>
        <v>13646</v>
      </c>
      <c r="X8" s="5">
        <f t="shared" si="24"/>
        <v>18129</v>
      </c>
      <c r="Y8" s="5">
        <f t="shared" ref="Y8" si="25">Y6+Y7</f>
        <v>15615</v>
      </c>
      <c r="Z8" s="5">
        <f t="shared" ref="Z8" si="26">Z6+Z7</f>
        <v>16429</v>
      </c>
      <c r="AA8" s="5">
        <f t="shared" ref="AA8" si="27">AA6+AA7</f>
        <v>15452</v>
      </c>
      <c r="AB8" s="5">
        <f t="shared" ref="AB8:AC8" si="28">AB6+AB7</f>
        <v>17488</v>
      </c>
      <c r="AC8" s="5">
        <f t="shared" si="28"/>
        <v>16128</v>
      </c>
      <c r="AD8" s="5">
        <f t="shared" ref="AD8:AE8" si="29">AD6+AD7</f>
        <v>16795</v>
      </c>
      <c r="AE8" s="5">
        <f t="shared" si="29"/>
        <v>16302</v>
      </c>
      <c r="AF8" s="5">
        <f t="shared" ref="AF8:AG8" si="30">AF6+AF7</f>
        <v>16302</v>
      </c>
      <c r="AG8" s="5">
        <f t="shared" si="30"/>
        <v>19623</v>
      </c>
      <c r="AH8" s="5">
        <f t="shared" ref="AH8:AI8" si="31">AH6+AH7</f>
        <v>19684</v>
      </c>
      <c r="AI8" s="5">
        <f t="shared" si="31"/>
        <v>20099</v>
      </c>
      <c r="AJ8" s="5">
        <f t="shared" ref="AJ8:AL8" si="32">AJ6+AJ7</f>
        <v>21799</v>
      </c>
      <c r="AK8" s="5">
        <f t="shared" si="32"/>
        <v>21919</v>
      </c>
      <c r="AL8" s="5">
        <f t="shared" si="32"/>
        <v>24512.862599999997</v>
      </c>
      <c r="AN8" s="5">
        <f t="shared" ref="AN8:AU8" si="33">AN6+AN7</f>
        <v>34261</v>
      </c>
      <c r="AO8" s="5">
        <f t="shared" si="33"/>
        <v>38353</v>
      </c>
      <c r="AP8" s="5">
        <f t="shared" si="33"/>
        <v>42910</v>
      </c>
      <c r="AQ8" s="5">
        <f t="shared" si="33"/>
        <v>46078</v>
      </c>
      <c r="AR8" s="5">
        <f t="shared" si="33"/>
        <v>52232</v>
      </c>
      <c r="AS8" s="5">
        <f t="shared" si="33"/>
        <v>63819</v>
      </c>
      <c r="AT8" s="5">
        <f t="shared" si="33"/>
        <v>65863</v>
      </c>
      <c r="AU8" s="5">
        <f t="shared" si="33"/>
        <v>71911</v>
      </c>
      <c r="AV8" s="5">
        <f t="shared" ref="AV8:BD8" si="34">AV6+AV7</f>
        <v>88329.862599999993</v>
      </c>
      <c r="AW8" s="5">
        <f t="shared" si="34"/>
        <v>97511.726509</v>
      </c>
      <c r="AX8" s="5">
        <f t="shared" si="34"/>
        <v>104338.71479909</v>
      </c>
      <c r="AY8" s="5">
        <f t="shared" si="34"/>
        <v>109896.40245208089</v>
      </c>
      <c r="AZ8" s="5">
        <f t="shared" si="34"/>
        <v>114823.49330484172</v>
      </c>
      <c r="BA8" s="5">
        <f t="shared" si="34"/>
        <v>118986.37811512913</v>
      </c>
      <c r="BB8" s="5">
        <f t="shared" si="34"/>
        <v>122266.39914449946</v>
      </c>
      <c r="BC8" s="5">
        <f t="shared" si="34"/>
        <v>125641.92510161006</v>
      </c>
      <c r="BD8" s="5">
        <f t="shared" si="34"/>
        <v>128007.06826494396</v>
      </c>
      <c r="BE8" s="5">
        <f t="shared" ref="BE8:BF8" si="35">BE6+BE7</f>
        <v>130418.03733815753</v>
      </c>
      <c r="BF8" s="5">
        <f t="shared" si="35"/>
        <v>132875.73406991453</v>
      </c>
    </row>
    <row r="9" spans="2:58" s="6" customFormat="1" x14ac:dyDescent="0.3">
      <c r="B9" s="6" t="s">
        <v>32</v>
      </c>
      <c r="C9" s="7">
        <f t="shared" ref="C9:R9" si="36">C5-C8</f>
        <v>13814</v>
      </c>
      <c r="D9" s="7">
        <f t="shared" si="36"/>
        <v>15925</v>
      </c>
      <c r="E9" s="7">
        <f t="shared" si="36"/>
        <v>15152</v>
      </c>
      <c r="F9" s="7">
        <f t="shared" si="36"/>
        <v>17149</v>
      </c>
      <c r="G9" s="7">
        <f t="shared" si="36"/>
        <v>16260</v>
      </c>
      <c r="H9" s="7">
        <f t="shared" si="36"/>
        <v>17854</v>
      </c>
      <c r="I9" s="7">
        <f t="shared" si="36"/>
        <v>17550</v>
      </c>
      <c r="J9" s="7">
        <f t="shared" si="36"/>
        <v>20343</v>
      </c>
      <c r="K9" s="7">
        <f t="shared" si="36"/>
        <v>19179</v>
      </c>
      <c r="L9" s="7">
        <f t="shared" si="36"/>
        <v>20048</v>
      </c>
      <c r="M9" s="7">
        <f t="shared" si="36"/>
        <v>20401</v>
      </c>
      <c r="N9" s="7">
        <f t="shared" si="36"/>
        <v>23305</v>
      </c>
      <c r="O9" s="7">
        <f t="shared" si="36"/>
        <v>22649</v>
      </c>
      <c r="P9" s="7">
        <f t="shared" si="36"/>
        <v>24548</v>
      </c>
      <c r="Q9" s="7">
        <f t="shared" si="36"/>
        <v>24046</v>
      </c>
      <c r="R9" s="7">
        <f t="shared" si="36"/>
        <v>25694</v>
      </c>
      <c r="S9" s="7">
        <f t="shared" ref="S9:V9" si="37">S5-S8</f>
        <v>26152</v>
      </c>
      <c r="T9" s="7">
        <f t="shared" si="37"/>
        <v>28882</v>
      </c>
      <c r="U9" s="7">
        <f t="shared" si="37"/>
        <v>28661</v>
      </c>
      <c r="V9" s="7">
        <f t="shared" si="37"/>
        <v>32161</v>
      </c>
      <c r="W9" s="7">
        <f t="shared" ref="W9:X9" si="38">W5-W8</f>
        <v>31671</v>
      </c>
      <c r="X9" s="7">
        <f t="shared" si="38"/>
        <v>33599</v>
      </c>
      <c r="Y9" s="7">
        <f t="shared" ref="Y9" si="39">Y5-Y8</f>
        <v>33745</v>
      </c>
      <c r="Z9" s="7">
        <f t="shared" ref="Z9" si="40">Z5-Z8</f>
        <v>35436</v>
      </c>
      <c r="AA9" s="7">
        <f t="shared" ref="AA9" si="41">AA5-AA8</f>
        <v>34670</v>
      </c>
      <c r="AB9" s="7">
        <f t="shared" ref="AB9:AC9" si="42">AB5-AB8</f>
        <v>35259</v>
      </c>
      <c r="AC9" s="7">
        <f t="shared" si="42"/>
        <v>36729</v>
      </c>
      <c r="AD9" s="7">
        <f t="shared" ref="AD9:AE9" si="43">AD5-AD8</f>
        <v>39394</v>
      </c>
      <c r="AE9" s="7">
        <f t="shared" si="43"/>
        <v>40215</v>
      </c>
      <c r="AF9" s="7">
        <f t="shared" ref="AF9:AG9" si="44">AF5-AF8</f>
        <v>40215</v>
      </c>
      <c r="AG9" s="7">
        <f t="shared" si="44"/>
        <v>42397</v>
      </c>
      <c r="AH9" s="7">
        <f t="shared" ref="AH9:AI9" si="45">AH5-AH8</f>
        <v>45043</v>
      </c>
      <c r="AI9" s="7">
        <f t="shared" si="45"/>
        <v>45486</v>
      </c>
      <c r="AJ9" s="7">
        <f t="shared" ref="AJ9:AL9" si="46">AJ5-AJ8</f>
        <v>47833</v>
      </c>
      <c r="AK9" s="7">
        <f t="shared" si="46"/>
        <v>48147</v>
      </c>
      <c r="AL9" s="7">
        <f t="shared" si="46"/>
        <v>50383.967400000009</v>
      </c>
      <c r="AN9" s="7">
        <f t="shared" ref="AN9:AU9" si="47">AN5-AN8</f>
        <v>62040</v>
      </c>
      <c r="AO9" s="7">
        <f t="shared" si="47"/>
        <v>72007</v>
      </c>
      <c r="AP9" s="7">
        <f t="shared" si="47"/>
        <v>82933</v>
      </c>
      <c r="AQ9" s="7">
        <f t="shared" si="47"/>
        <v>96937</v>
      </c>
      <c r="AR9" s="7">
        <f t="shared" si="47"/>
        <v>115856</v>
      </c>
      <c r="AS9" s="7">
        <f t="shared" si="47"/>
        <v>134451</v>
      </c>
      <c r="AT9" s="7">
        <f t="shared" si="47"/>
        <v>146052</v>
      </c>
      <c r="AU9" s="7">
        <f t="shared" si="47"/>
        <v>167870</v>
      </c>
      <c r="AV9" s="7">
        <f t="shared" ref="AV9:BD9" si="48">AV5-AV8</f>
        <v>191849.96740000002</v>
      </c>
      <c r="AW9" s="7">
        <f t="shared" si="48"/>
        <v>216309.80179100001</v>
      </c>
      <c r="AX9" s="7">
        <f t="shared" si="48"/>
        <v>230353.97128390998</v>
      </c>
      <c r="AY9" s="7">
        <f t="shared" si="48"/>
        <v>241822.90899174908</v>
      </c>
      <c r="AZ9" s="7">
        <f t="shared" si="48"/>
        <v>252013.39558142659</v>
      </c>
      <c r="BA9" s="7">
        <f t="shared" si="48"/>
        <v>260654.18231830181</v>
      </c>
      <c r="BB9" s="7">
        <f t="shared" si="48"/>
        <v>267504.37673635385</v>
      </c>
      <c r="BC9" s="7">
        <f t="shared" si="48"/>
        <v>274550.38267643237</v>
      </c>
      <c r="BD9" s="7">
        <f t="shared" si="48"/>
        <v>279546.93202214496</v>
      </c>
      <c r="BE9" s="7">
        <f t="shared" ref="BE9:BF9" si="49">BE5-BE8</f>
        <v>284638.4677716936</v>
      </c>
      <c r="BF9" s="7">
        <f t="shared" si="49"/>
        <v>289826.84020732425</v>
      </c>
    </row>
    <row r="10" spans="2:58" x14ac:dyDescent="0.3">
      <c r="B10" t="s">
        <v>33</v>
      </c>
      <c r="C10" s="5">
        <v>3106</v>
      </c>
      <c r="D10" s="5">
        <v>3062</v>
      </c>
      <c r="E10" s="5">
        <v>3355</v>
      </c>
      <c r="F10" s="5">
        <v>3514</v>
      </c>
      <c r="G10" s="5">
        <v>3574</v>
      </c>
      <c r="H10" s="5">
        <v>3504</v>
      </c>
      <c r="I10" s="5">
        <v>3715</v>
      </c>
      <c r="J10" s="5">
        <v>3933</v>
      </c>
      <c r="K10" s="5">
        <v>3977</v>
      </c>
      <c r="L10" s="5">
        <v>4070</v>
      </c>
      <c r="M10" s="5">
        <v>4316</v>
      </c>
      <c r="N10" s="5">
        <v>4513</v>
      </c>
      <c r="O10" s="5">
        <v>4565</v>
      </c>
      <c r="P10" s="5">
        <v>4603</v>
      </c>
      <c r="Q10" s="5">
        <v>4887</v>
      </c>
      <c r="R10" s="5">
        <v>5214</v>
      </c>
      <c r="S10" s="5">
        <v>4926</v>
      </c>
      <c r="T10" s="5">
        <v>4899</v>
      </c>
      <c r="U10" s="5">
        <v>5204</v>
      </c>
      <c r="V10" s="5">
        <v>5687</v>
      </c>
      <c r="W10" s="5">
        <v>5599</v>
      </c>
      <c r="X10" s="5">
        <v>5758</v>
      </c>
      <c r="Y10" s="5">
        <v>6306</v>
      </c>
      <c r="Z10" s="5">
        <v>6849</v>
      </c>
      <c r="AA10" s="5">
        <v>6628</v>
      </c>
      <c r="AB10" s="5">
        <v>6844</v>
      </c>
      <c r="AC10" s="5">
        <v>6984</v>
      </c>
      <c r="AD10" s="5">
        <v>6739</v>
      </c>
      <c r="AE10" s="5">
        <v>6659</v>
      </c>
      <c r="AF10" s="5">
        <v>6659</v>
      </c>
      <c r="AG10" s="5">
        <v>7142</v>
      </c>
      <c r="AH10" s="5">
        <v>8056</v>
      </c>
      <c r="AI10" s="5">
        <v>7544</v>
      </c>
      <c r="AJ10" s="5">
        <v>7917</v>
      </c>
      <c r="AK10" s="5">
        <v>8198</v>
      </c>
      <c r="AL10" s="5">
        <f>AH10*1.07</f>
        <v>8619.92</v>
      </c>
      <c r="AN10" s="5">
        <f>SUM(C10:F10)</f>
        <v>13037</v>
      </c>
      <c r="AO10" s="5">
        <f>SUM(G10:J10)</f>
        <v>14726</v>
      </c>
      <c r="AP10" s="5">
        <f>SUM(K10:N10)</f>
        <v>16876</v>
      </c>
      <c r="AQ10" s="5">
        <f>SUM(O10:R10)</f>
        <v>19269</v>
      </c>
      <c r="AR10" s="5">
        <f>SUM(S10:V10)</f>
        <v>20716</v>
      </c>
      <c r="AS10" s="5">
        <f>SUM(W10:Z10)</f>
        <v>24512</v>
      </c>
      <c r="AT10" s="5">
        <f>SUM(AA10:AD10)</f>
        <v>27195</v>
      </c>
      <c r="AU10" s="5">
        <f>SUM(AE10:AH10)</f>
        <v>28516</v>
      </c>
      <c r="AV10" s="5">
        <f>SUM(AI10:AL10)</f>
        <v>32278.92</v>
      </c>
      <c r="AW10" s="5">
        <f>AV10*1.06</f>
        <v>34215.655200000001</v>
      </c>
      <c r="AX10" s="5">
        <f>AW10*1.04</f>
        <v>35584.281408000003</v>
      </c>
      <c r="AY10" s="5">
        <f>AX10*1.02</f>
        <v>36295.96703616</v>
      </c>
      <c r="AZ10" s="5">
        <f t="shared" ref="AZ10:BD10" si="50">AY10*1.01</f>
        <v>36658.926706521597</v>
      </c>
      <c r="BA10" s="5">
        <f t="shared" si="50"/>
        <v>37025.515973586815</v>
      </c>
      <c r="BB10" s="5">
        <f t="shared" si="50"/>
        <v>37395.771133322683</v>
      </c>
      <c r="BC10" s="5">
        <f t="shared" si="50"/>
        <v>37769.728844655911</v>
      </c>
      <c r="BD10" s="5">
        <f t="shared" si="50"/>
        <v>38147.426133102468</v>
      </c>
      <c r="BE10" s="5">
        <f t="shared" ref="BE10" si="51">BD10*1.01</f>
        <v>38528.900394433491</v>
      </c>
      <c r="BF10" s="5">
        <f t="shared" ref="BF10" si="52">BE10*1.01</f>
        <v>38914.189398377828</v>
      </c>
    </row>
    <row r="11" spans="2:58" x14ac:dyDescent="0.3">
      <c r="B11" t="s">
        <v>34</v>
      </c>
      <c r="C11" s="5">
        <v>3218</v>
      </c>
      <c r="D11" s="5">
        <v>4079</v>
      </c>
      <c r="E11" s="5">
        <v>3872</v>
      </c>
      <c r="F11" s="5">
        <v>4292</v>
      </c>
      <c r="G11" s="5">
        <v>3812</v>
      </c>
      <c r="H11" s="5">
        <v>4562</v>
      </c>
      <c r="I11" s="5">
        <v>4335</v>
      </c>
      <c r="J11" s="5">
        <v>4760</v>
      </c>
      <c r="K11" s="5">
        <v>4098</v>
      </c>
      <c r="L11" s="5">
        <v>4588</v>
      </c>
      <c r="M11" s="5">
        <v>4565</v>
      </c>
      <c r="N11" s="5">
        <v>4962</v>
      </c>
      <c r="O11" s="5">
        <v>4337</v>
      </c>
      <c r="P11" s="5">
        <v>4933</v>
      </c>
      <c r="Q11" s="5">
        <v>4911</v>
      </c>
      <c r="R11" s="5">
        <v>5417</v>
      </c>
      <c r="S11" s="5">
        <v>4231</v>
      </c>
      <c r="T11" s="5">
        <v>4947</v>
      </c>
      <c r="U11" s="5">
        <v>5082</v>
      </c>
      <c r="V11" s="5">
        <v>5857</v>
      </c>
      <c r="W11" s="5">
        <v>4547</v>
      </c>
      <c r="X11" s="5">
        <v>5379</v>
      </c>
      <c r="Y11" s="5">
        <v>5595</v>
      </c>
      <c r="Z11" s="5">
        <v>6304</v>
      </c>
      <c r="AA11" s="5">
        <v>5126</v>
      </c>
      <c r="AB11" s="5">
        <v>5679</v>
      </c>
      <c r="AC11" s="5">
        <v>5750</v>
      </c>
      <c r="AD11" s="5">
        <v>6204</v>
      </c>
      <c r="AE11" s="5">
        <v>5187</v>
      </c>
      <c r="AF11" s="5">
        <v>5187</v>
      </c>
      <c r="AG11" s="5">
        <v>6246</v>
      </c>
      <c r="AH11" s="5">
        <v>6816</v>
      </c>
      <c r="AI11" s="5">
        <v>5717</v>
      </c>
      <c r="AJ11" s="5">
        <v>6440</v>
      </c>
      <c r="AK11" s="5">
        <v>6212</v>
      </c>
      <c r="AL11" s="5">
        <f>AL5*0.1</f>
        <v>7489.6830000000009</v>
      </c>
      <c r="AN11" s="5">
        <f>SUM(C11:F11)</f>
        <v>15461</v>
      </c>
      <c r="AO11" s="5">
        <f>SUM(G11:J11)</f>
        <v>17469</v>
      </c>
      <c r="AP11" s="5">
        <f>SUM(K11:N11)</f>
        <v>18213</v>
      </c>
      <c r="AQ11" s="5">
        <f>SUM(O11:R11)</f>
        <v>19598</v>
      </c>
      <c r="AR11" s="5">
        <f>SUM(S11:V11)</f>
        <v>20117</v>
      </c>
      <c r="AS11" s="5">
        <f>SUM(W11:Z11)</f>
        <v>21825</v>
      </c>
      <c r="AT11" s="5">
        <f>SUM(AA11:AD11)</f>
        <v>22759</v>
      </c>
      <c r="AU11" s="5">
        <f>SUM(AE11:AH11)</f>
        <v>23436</v>
      </c>
      <c r="AV11" s="5">
        <f>SUM(AI11:AL11)</f>
        <v>25858.683000000001</v>
      </c>
      <c r="AW11" s="5">
        <f>AV11*1.02</f>
        <v>26375.856660000001</v>
      </c>
      <c r="AX11" s="5">
        <f t="shared" ref="AX11:BD11" si="53">AW11*1.02</f>
        <v>26903.3737932</v>
      </c>
      <c r="AY11" s="5">
        <f t="shared" si="53"/>
        <v>27441.441269064002</v>
      </c>
      <c r="AZ11" s="5">
        <f t="shared" si="53"/>
        <v>27990.270094445281</v>
      </c>
      <c r="BA11" s="5">
        <f t="shared" si="53"/>
        <v>28550.075496334186</v>
      </c>
      <c r="BB11" s="5">
        <f t="shared" si="53"/>
        <v>29121.077006260872</v>
      </c>
      <c r="BC11" s="5">
        <f t="shared" si="53"/>
        <v>29703.49854638609</v>
      </c>
      <c r="BD11" s="5">
        <f t="shared" si="53"/>
        <v>30297.568517313812</v>
      </c>
      <c r="BE11" s="5">
        <f t="shared" ref="BE11" si="54">BD11*1.02</f>
        <v>30903.519887660088</v>
      </c>
      <c r="BF11" s="5">
        <f t="shared" ref="BF11" si="55">BE11*1.02</f>
        <v>31521.590285413291</v>
      </c>
    </row>
    <row r="12" spans="2:58" x14ac:dyDescent="0.3">
      <c r="B12" t="s">
        <v>35</v>
      </c>
      <c r="C12" s="5">
        <v>1045</v>
      </c>
      <c r="D12" s="5">
        <v>879</v>
      </c>
      <c r="E12" s="5">
        <v>1202</v>
      </c>
      <c r="F12" s="5">
        <v>1355</v>
      </c>
      <c r="G12" s="5">
        <v>1166</v>
      </c>
      <c r="H12" s="5">
        <v>1109</v>
      </c>
      <c r="I12" s="5">
        <v>1208</v>
      </c>
      <c r="J12" s="5">
        <v>1271</v>
      </c>
      <c r="K12" s="5">
        <v>1149</v>
      </c>
      <c r="L12" s="5">
        <v>1132</v>
      </c>
      <c r="M12" s="5">
        <v>1179</v>
      </c>
      <c r="N12" s="5">
        <v>1425</v>
      </c>
      <c r="O12" s="5">
        <v>1061</v>
      </c>
      <c r="P12" s="5">
        <v>1121</v>
      </c>
      <c r="Q12" s="5">
        <v>1273</v>
      </c>
      <c r="R12" s="5">
        <v>1656</v>
      </c>
      <c r="S12" s="5">
        <v>1119</v>
      </c>
      <c r="T12" s="5">
        <v>1139</v>
      </c>
      <c r="U12" s="5">
        <v>1327</v>
      </c>
      <c r="V12" s="5">
        <v>1522</v>
      </c>
      <c r="W12" s="5">
        <v>1287</v>
      </c>
      <c r="X12" s="5">
        <v>1384</v>
      </c>
      <c r="Y12" s="5">
        <v>1480</v>
      </c>
      <c r="Z12" s="5">
        <v>1749</v>
      </c>
      <c r="AA12" s="5">
        <v>1398</v>
      </c>
      <c r="AB12" s="5">
        <v>2337</v>
      </c>
      <c r="AC12" s="5">
        <v>1643</v>
      </c>
      <c r="AD12" s="5">
        <v>2197</v>
      </c>
      <c r="AE12" s="5">
        <v>1474</v>
      </c>
      <c r="AF12" s="5">
        <v>1474</v>
      </c>
      <c r="AG12" s="5">
        <v>1977</v>
      </c>
      <c r="AH12" s="5">
        <v>2246</v>
      </c>
      <c r="AI12" s="5">
        <v>1673</v>
      </c>
      <c r="AJ12" s="5">
        <v>1823</v>
      </c>
      <c r="AK12" s="5">
        <v>1737</v>
      </c>
      <c r="AL12" s="5">
        <f>AH12*1.06</f>
        <v>2380.7600000000002</v>
      </c>
      <c r="AN12" s="5">
        <f>SUM(C12:F12)</f>
        <v>4481</v>
      </c>
      <c r="AO12" s="5">
        <f>SUM(G12:J12)</f>
        <v>4754</v>
      </c>
      <c r="AP12" s="5">
        <f>SUM(K12:N12)</f>
        <v>4885</v>
      </c>
      <c r="AQ12" s="5">
        <f>SUM(O12:R12)</f>
        <v>5111</v>
      </c>
      <c r="AR12" s="5">
        <f>SUM(S12:V12)</f>
        <v>5107</v>
      </c>
      <c r="AS12" s="5">
        <f>SUM(W12:Z12)</f>
        <v>5900</v>
      </c>
      <c r="AT12" s="5">
        <f>SUM(AA12:AD12)</f>
        <v>7575</v>
      </c>
      <c r="AU12" s="5">
        <f>SUM(AE12:AH12)</f>
        <v>7171</v>
      </c>
      <c r="AV12" s="5">
        <f>SUM(AI12:AL12)</f>
        <v>7613.76</v>
      </c>
      <c r="AW12" s="5">
        <f>AV12*1.05</f>
        <v>7994.4480000000003</v>
      </c>
      <c r="AX12" s="5">
        <f>AW12*1.04</f>
        <v>8314.2259200000008</v>
      </c>
      <c r="AY12" s="5">
        <f>AX12*1.03</f>
        <v>8563.6526976000005</v>
      </c>
      <c r="AZ12" s="5">
        <f>AY12*1.02</f>
        <v>8734.9257515520003</v>
      </c>
      <c r="BA12" s="5">
        <f>AZ12*1.02</f>
        <v>8909.6242665830396</v>
      </c>
      <c r="BB12" s="5">
        <f>BA12*1.01</f>
        <v>8998.7205092488693</v>
      </c>
      <c r="BC12" s="5">
        <f t="shared" ref="BC12:BF12" si="56">BB12*1.01</f>
        <v>9088.707714341359</v>
      </c>
      <c r="BD12" s="5">
        <f t="shared" si="56"/>
        <v>9179.5947914847729</v>
      </c>
      <c r="BE12" s="5">
        <f t="shared" si="56"/>
        <v>9271.3907393996215</v>
      </c>
      <c r="BF12" s="5">
        <f t="shared" si="56"/>
        <v>9364.1046467936176</v>
      </c>
    </row>
    <row r="13" spans="2:58" s="6" customFormat="1" x14ac:dyDescent="0.3">
      <c r="B13" s="6" t="s">
        <v>36</v>
      </c>
      <c r="C13" s="7">
        <f t="shared" ref="C13:R13" si="57">C9-C10-C11-C12</f>
        <v>6445</v>
      </c>
      <c r="D13" s="7">
        <f t="shared" si="57"/>
        <v>7905</v>
      </c>
      <c r="E13" s="7">
        <f t="shared" si="57"/>
        <v>6723</v>
      </c>
      <c r="F13" s="7">
        <f t="shared" si="57"/>
        <v>7988</v>
      </c>
      <c r="G13" s="7">
        <f t="shared" si="57"/>
        <v>7708</v>
      </c>
      <c r="H13" s="7">
        <f t="shared" si="57"/>
        <v>8679</v>
      </c>
      <c r="I13" s="7">
        <f t="shared" si="57"/>
        <v>8292</v>
      </c>
      <c r="J13" s="7">
        <f t="shared" si="57"/>
        <v>10379</v>
      </c>
      <c r="K13" s="7">
        <f t="shared" si="57"/>
        <v>9955</v>
      </c>
      <c r="L13" s="7">
        <f t="shared" si="57"/>
        <v>10258</v>
      </c>
      <c r="M13" s="7">
        <f t="shared" si="57"/>
        <v>10341</v>
      </c>
      <c r="N13" s="7">
        <f t="shared" si="57"/>
        <v>12405</v>
      </c>
      <c r="O13" s="7">
        <f t="shared" si="57"/>
        <v>12686</v>
      </c>
      <c r="P13" s="7">
        <f t="shared" si="57"/>
        <v>13891</v>
      </c>
      <c r="Q13" s="7">
        <f t="shared" si="57"/>
        <v>12975</v>
      </c>
      <c r="R13" s="7">
        <f t="shared" si="57"/>
        <v>13407</v>
      </c>
      <c r="S13" s="7">
        <f t="shared" ref="S13:V13" si="58">S9-S10-S11-S12</f>
        <v>15876</v>
      </c>
      <c r="T13" s="7">
        <f t="shared" si="58"/>
        <v>17897</v>
      </c>
      <c r="U13" s="7">
        <f t="shared" si="58"/>
        <v>17048</v>
      </c>
      <c r="V13" s="7">
        <f t="shared" si="58"/>
        <v>19095</v>
      </c>
      <c r="W13" s="7">
        <f t="shared" ref="W13:X13" si="59">W9-W10-W11-W12</f>
        <v>20238</v>
      </c>
      <c r="X13" s="7">
        <f t="shared" si="59"/>
        <v>21078</v>
      </c>
      <c r="Y13" s="7">
        <f t="shared" ref="Y13" si="60">Y9-Y10-Y11-Y12</f>
        <v>20364</v>
      </c>
      <c r="Z13" s="7">
        <f t="shared" ref="Z13" si="61">Z9-Z10-Z11-Z12</f>
        <v>20534</v>
      </c>
      <c r="AA13" s="7">
        <f t="shared" ref="AA13" si="62">AA9-AA10-AA11-AA12</f>
        <v>21518</v>
      </c>
      <c r="AB13" s="7">
        <f t="shared" ref="AB13:AC13" si="63">AB9-AB10-AB11-AB12</f>
        <v>20399</v>
      </c>
      <c r="AC13" s="7">
        <f t="shared" si="63"/>
        <v>22352</v>
      </c>
      <c r="AD13" s="7">
        <f t="shared" ref="AD13:AE13" si="64">AD9-AD10-AD11-AD12</f>
        <v>24254</v>
      </c>
      <c r="AE13" s="7">
        <f t="shared" si="64"/>
        <v>26895</v>
      </c>
      <c r="AF13" s="7">
        <f t="shared" ref="AF13:AG13" si="65">AF9-AF10-AF11-AF12</f>
        <v>26895</v>
      </c>
      <c r="AG13" s="7">
        <f t="shared" si="65"/>
        <v>27032</v>
      </c>
      <c r="AH13" s="7">
        <f t="shared" ref="AH13:AL13" si="66">AH9-AH10-AH11-AH12</f>
        <v>27925</v>
      </c>
      <c r="AI13" s="7">
        <f t="shared" si="66"/>
        <v>30552</v>
      </c>
      <c r="AJ13" s="7">
        <f t="shared" si="66"/>
        <v>31653</v>
      </c>
      <c r="AK13" s="7">
        <f t="shared" si="66"/>
        <v>32000</v>
      </c>
      <c r="AL13" s="7">
        <f t="shared" si="66"/>
        <v>31893.604400000004</v>
      </c>
      <c r="AN13" s="7">
        <f>AN9-AN10-AN11-AN12</f>
        <v>29061</v>
      </c>
      <c r="AO13" s="7">
        <f>AO9-AO10-AO11-AO12</f>
        <v>35058</v>
      </c>
      <c r="AP13" s="7">
        <f>AP9-AP10-AP11-AP12</f>
        <v>42959</v>
      </c>
      <c r="AQ13" s="7">
        <f>AQ9-AQ10-AQ11-AQ12</f>
        <v>52959</v>
      </c>
      <c r="AR13" s="7">
        <f t="shared" ref="AR13:BA13" si="67">AR9-AR10-AR11-AR12</f>
        <v>69916</v>
      </c>
      <c r="AS13" s="7">
        <f t="shared" ref="AS13:AT13" si="68">AS9-AS10-AS11-AS12</f>
        <v>82214</v>
      </c>
      <c r="AT13" s="7">
        <f t="shared" si="68"/>
        <v>88523</v>
      </c>
      <c r="AU13" s="7">
        <f t="shared" ref="AU13" si="69">AU9-AU10-AU11-AU12</f>
        <v>108747</v>
      </c>
      <c r="AV13" s="7">
        <f t="shared" si="67"/>
        <v>126098.60440000005</v>
      </c>
      <c r="AW13" s="7">
        <f t="shared" si="67"/>
        <v>147723.841931</v>
      </c>
      <c r="AX13" s="7">
        <f t="shared" si="67"/>
        <v>159552.09016270997</v>
      </c>
      <c r="AY13" s="7">
        <f t="shared" si="67"/>
        <v>169521.84798892509</v>
      </c>
      <c r="AZ13" s="7">
        <f t="shared" si="67"/>
        <v>178629.27302890772</v>
      </c>
      <c r="BA13" s="7">
        <f t="shared" si="67"/>
        <v>186168.96658179778</v>
      </c>
      <c r="BB13" s="7">
        <f t="shared" ref="BB13:BD13" si="70">BB9-BB10-BB11-BB12</f>
        <v>191988.80808752144</v>
      </c>
      <c r="BC13" s="7">
        <f t="shared" si="70"/>
        <v>197988.44757104904</v>
      </c>
      <c r="BD13" s="7">
        <f t="shared" si="70"/>
        <v>201922.34258024392</v>
      </c>
      <c r="BE13" s="7">
        <f t="shared" ref="BE13:BF13" si="71">BE9-BE10-BE11-BE12</f>
        <v>205934.6567502004</v>
      </c>
      <c r="BF13" s="7">
        <f t="shared" si="71"/>
        <v>210026.95587673949</v>
      </c>
    </row>
    <row r="14" spans="2:58" x14ac:dyDescent="0.3">
      <c r="B14" t="s">
        <v>37</v>
      </c>
      <c r="C14" s="5">
        <v>-112</v>
      </c>
      <c r="D14" s="5">
        <v>-117</v>
      </c>
      <c r="E14" s="5">
        <v>-371</v>
      </c>
      <c r="F14" s="5">
        <f>-276+306</f>
        <v>30</v>
      </c>
      <c r="G14" s="5">
        <v>-276</v>
      </c>
      <c r="H14" s="5">
        <v>-490</v>
      </c>
      <c r="I14" s="5">
        <v>-349</v>
      </c>
      <c r="J14" s="5">
        <v>-301</v>
      </c>
      <c r="K14" s="5">
        <v>-266</v>
      </c>
      <c r="L14" s="5">
        <v>-127</v>
      </c>
      <c r="M14" s="5">
        <v>-145</v>
      </c>
      <c r="N14" s="5">
        <v>-191</v>
      </c>
      <c r="O14" s="5">
        <v>0</v>
      </c>
      <c r="P14" s="5">
        <v>-194</v>
      </c>
      <c r="Q14" s="5">
        <v>132</v>
      </c>
      <c r="R14" s="5">
        <v>-15</v>
      </c>
      <c r="S14" s="5">
        <v>-248</v>
      </c>
      <c r="T14" s="5">
        <v>-440</v>
      </c>
      <c r="U14" s="5">
        <v>-188</v>
      </c>
      <c r="V14" s="5">
        <v>-310</v>
      </c>
      <c r="W14" s="5">
        <v>-286</v>
      </c>
      <c r="X14" s="5">
        <v>-268</v>
      </c>
      <c r="Y14" s="5">
        <v>174</v>
      </c>
      <c r="Z14" s="5">
        <v>47</v>
      </c>
      <c r="AA14" s="5">
        <v>-54</v>
      </c>
      <c r="AB14" s="5">
        <v>60</v>
      </c>
      <c r="AC14" s="5">
        <v>-321</v>
      </c>
      <c r="AD14" s="5">
        <v>-473</v>
      </c>
      <c r="AE14" s="5">
        <v>-389</v>
      </c>
      <c r="AF14" s="5">
        <v>-389</v>
      </c>
      <c r="AG14" s="5">
        <v>506</v>
      </c>
      <c r="AH14" s="5">
        <v>675</v>
      </c>
      <c r="AI14" s="5">
        <v>283</v>
      </c>
      <c r="AJ14" s="5">
        <v>2288</v>
      </c>
      <c r="AK14" s="5">
        <v>623</v>
      </c>
      <c r="AL14" s="5">
        <v>200</v>
      </c>
      <c r="AN14" s="5">
        <f>SUM(C14:F14)</f>
        <v>-570</v>
      </c>
      <c r="AO14" s="5">
        <f>SUM(G14:J14)</f>
        <v>-1416</v>
      </c>
      <c r="AP14" s="5">
        <f>SUM(K14:N14)</f>
        <v>-729</v>
      </c>
      <c r="AQ14" s="5">
        <f>SUM(O14:R14)</f>
        <v>-77</v>
      </c>
      <c r="AR14" s="5">
        <f>SUM(S14:V14)</f>
        <v>-1186</v>
      </c>
      <c r="AS14" s="5">
        <f>SUM(W14:Z14)</f>
        <v>-333</v>
      </c>
      <c r="AT14" s="5">
        <f>SUM(AA14:AD14)</f>
        <v>-788</v>
      </c>
      <c r="AU14" s="5">
        <f>SUM(AE14:AH14)</f>
        <v>403</v>
      </c>
      <c r="AV14" s="5">
        <f>SUM(AI14:AL14)</f>
        <v>3394</v>
      </c>
      <c r="AW14" s="5">
        <f t="shared" ref="AW14:BD14" si="72">AV14*1.01</f>
        <v>3427.94</v>
      </c>
      <c r="AX14" s="5">
        <f t="shared" si="72"/>
        <v>3462.2194</v>
      </c>
      <c r="AY14" s="5">
        <f t="shared" si="72"/>
        <v>3496.841594</v>
      </c>
      <c r="AZ14" s="5">
        <f t="shared" si="72"/>
        <v>3531.8100099399999</v>
      </c>
      <c r="BA14" s="5">
        <f t="shared" si="72"/>
        <v>3567.1281100393999</v>
      </c>
      <c r="BB14" s="5">
        <f t="shared" si="72"/>
        <v>3602.7993911397939</v>
      </c>
      <c r="BC14" s="5">
        <f t="shared" si="72"/>
        <v>3638.8273850511919</v>
      </c>
      <c r="BD14" s="5">
        <f t="shared" si="72"/>
        <v>3675.215658901704</v>
      </c>
      <c r="BE14" s="5">
        <f t="shared" ref="BE14" si="73">BD14*1.01</f>
        <v>3711.967815490721</v>
      </c>
      <c r="BF14" s="5">
        <f t="shared" ref="BF14" si="74">BE14*1.01</f>
        <v>3749.0874936456285</v>
      </c>
    </row>
    <row r="15" spans="2:58" s="6" customFormat="1" x14ac:dyDescent="0.3">
      <c r="B15" s="6" t="s">
        <v>38</v>
      </c>
      <c r="C15" s="7">
        <f t="shared" ref="C15:R15" si="75">C13-C14</f>
        <v>6557</v>
      </c>
      <c r="D15" s="7">
        <f t="shared" si="75"/>
        <v>8022</v>
      </c>
      <c r="E15" s="7">
        <f t="shared" si="75"/>
        <v>7094</v>
      </c>
      <c r="F15" s="7">
        <f t="shared" si="75"/>
        <v>7958</v>
      </c>
      <c r="G15" s="7">
        <f t="shared" si="75"/>
        <v>7984</v>
      </c>
      <c r="H15" s="7">
        <f t="shared" si="75"/>
        <v>9169</v>
      </c>
      <c r="I15" s="7">
        <f t="shared" si="75"/>
        <v>8641</v>
      </c>
      <c r="J15" s="7">
        <f t="shared" si="75"/>
        <v>10680</v>
      </c>
      <c r="K15" s="7">
        <f t="shared" si="75"/>
        <v>10221</v>
      </c>
      <c r="L15" s="7">
        <f t="shared" si="75"/>
        <v>10385</v>
      </c>
      <c r="M15" s="7">
        <f t="shared" si="75"/>
        <v>10486</v>
      </c>
      <c r="N15" s="7">
        <f t="shared" si="75"/>
        <v>12596</v>
      </c>
      <c r="O15" s="7">
        <f t="shared" si="75"/>
        <v>12686</v>
      </c>
      <c r="P15" s="7">
        <f t="shared" si="75"/>
        <v>14085</v>
      </c>
      <c r="Q15" s="7">
        <f t="shared" si="75"/>
        <v>12843</v>
      </c>
      <c r="R15" s="7">
        <f t="shared" si="75"/>
        <v>13422</v>
      </c>
      <c r="S15" s="7">
        <f t="shared" ref="S15:V15" si="76">S13-S14</f>
        <v>16124</v>
      </c>
      <c r="T15" s="7">
        <f t="shared" si="76"/>
        <v>18337</v>
      </c>
      <c r="U15" s="7">
        <f t="shared" si="76"/>
        <v>17236</v>
      </c>
      <c r="V15" s="7">
        <f t="shared" si="76"/>
        <v>19405</v>
      </c>
      <c r="W15" s="7">
        <f t="shared" ref="W15:X15" si="77">W13-W14</f>
        <v>20524</v>
      </c>
      <c r="X15" s="7">
        <f t="shared" si="77"/>
        <v>21346</v>
      </c>
      <c r="Y15" s="7">
        <f t="shared" ref="Y15" si="78">Y13-Y14</f>
        <v>20190</v>
      </c>
      <c r="Z15" s="7">
        <f t="shared" ref="Z15" si="79">Z13-Z14</f>
        <v>20487</v>
      </c>
      <c r="AA15" s="7">
        <f t="shared" ref="AA15" si="80">AA13-AA14</f>
        <v>21572</v>
      </c>
      <c r="AB15" s="7">
        <f t="shared" ref="AB15:AC15" si="81">AB13-AB14</f>
        <v>20339</v>
      </c>
      <c r="AC15" s="7">
        <f t="shared" si="81"/>
        <v>22673</v>
      </c>
      <c r="AD15" s="7">
        <f t="shared" ref="AD15:AE15" si="82">AD13-AD14</f>
        <v>24727</v>
      </c>
      <c r="AE15" s="7">
        <f t="shared" si="82"/>
        <v>27284</v>
      </c>
      <c r="AF15" s="7">
        <f t="shared" ref="AF15:AG15" si="83">AF13-AF14</f>
        <v>27284</v>
      </c>
      <c r="AG15" s="7">
        <f t="shared" si="83"/>
        <v>26526</v>
      </c>
      <c r="AH15" s="7">
        <f t="shared" ref="AH15:AL15" si="84">AH13-AH14</f>
        <v>27250</v>
      </c>
      <c r="AI15" s="7">
        <f t="shared" si="84"/>
        <v>30269</v>
      </c>
      <c r="AJ15" s="7">
        <f t="shared" si="84"/>
        <v>29365</v>
      </c>
      <c r="AK15" s="7">
        <f t="shared" si="84"/>
        <v>31377</v>
      </c>
      <c r="AL15" s="7">
        <f t="shared" si="84"/>
        <v>31693.604400000004</v>
      </c>
      <c r="AN15" s="7">
        <f>AN13-AN14</f>
        <v>29631</v>
      </c>
      <c r="AO15" s="7">
        <f>AO13-AO14</f>
        <v>36474</v>
      </c>
      <c r="AP15" s="7">
        <f>AP13-AP14</f>
        <v>43688</v>
      </c>
      <c r="AQ15" s="7">
        <f>AQ13-AQ14</f>
        <v>53036</v>
      </c>
      <c r="AR15" s="7">
        <f t="shared" ref="AR15:BA15" si="85">AR13-AR14</f>
        <v>71102</v>
      </c>
      <c r="AS15" s="7">
        <f t="shared" ref="AS15:AT15" si="86">AS13-AS14</f>
        <v>82547</v>
      </c>
      <c r="AT15" s="7">
        <f t="shared" si="86"/>
        <v>89311</v>
      </c>
      <c r="AU15" s="7">
        <f t="shared" ref="AU15" si="87">AU13-AU14</f>
        <v>108344</v>
      </c>
      <c r="AV15" s="7">
        <f t="shared" si="85"/>
        <v>122704.60440000005</v>
      </c>
      <c r="AW15" s="7">
        <f t="shared" si="85"/>
        <v>144295.901931</v>
      </c>
      <c r="AX15" s="7">
        <f t="shared" si="85"/>
        <v>156089.87076270996</v>
      </c>
      <c r="AY15" s="7">
        <f t="shared" si="85"/>
        <v>166025.00639492509</v>
      </c>
      <c r="AZ15" s="7">
        <f t="shared" si="85"/>
        <v>175097.46301896771</v>
      </c>
      <c r="BA15" s="7">
        <f t="shared" si="85"/>
        <v>182601.83847175838</v>
      </c>
      <c r="BB15" s="7">
        <f t="shared" ref="BB15:BD15" si="88">BB13-BB14</f>
        <v>188386.00869638164</v>
      </c>
      <c r="BC15" s="7">
        <f t="shared" si="88"/>
        <v>194349.62018599783</v>
      </c>
      <c r="BD15" s="7">
        <f t="shared" si="88"/>
        <v>198247.12692134222</v>
      </c>
      <c r="BE15" s="7">
        <f t="shared" ref="BE15:BF15" si="89">BE13-BE14</f>
        <v>202222.68893470967</v>
      </c>
      <c r="BF15" s="7">
        <f t="shared" si="89"/>
        <v>206277.86838309385</v>
      </c>
    </row>
    <row r="16" spans="2:58" x14ac:dyDescent="0.3">
      <c r="B16" t="s">
        <v>39</v>
      </c>
      <c r="C16" s="5">
        <v>1160</v>
      </c>
      <c r="D16" s="5">
        <v>1755</v>
      </c>
      <c r="E16" s="5">
        <v>1608</v>
      </c>
      <c r="F16" s="5">
        <v>-111</v>
      </c>
      <c r="G16" s="5">
        <v>1408</v>
      </c>
      <c r="H16" s="5">
        <f>1671+13800</f>
        <v>15471</v>
      </c>
      <c r="I16" s="5">
        <v>1217</v>
      </c>
      <c r="J16" s="5">
        <v>1807</v>
      </c>
      <c r="K16" s="5">
        <v>1397</v>
      </c>
      <c r="L16" s="5">
        <v>1965</v>
      </c>
      <c r="M16" s="5">
        <v>1677</v>
      </c>
      <c r="N16" s="5">
        <v>-591</v>
      </c>
      <c r="O16" s="5">
        <v>2008</v>
      </c>
      <c r="P16" s="5">
        <v>2436</v>
      </c>
      <c r="Q16" s="5">
        <v>2091</v>
      </c>
      <c r="R16" s="5">
        <v>2220</v>
      </c>
      <c r="S16" s="5">
        <v>2231</v>
      </c>
      <c r="T16" s="5">
        <v>2874</v>
      </c>
      <c r="U16" s="5">
        <v>1779</v>
      </c>
      <c r="V16" s="5">
        <v>2947</v>
      </c>
      <c r="W16" s="5">
        <v>19</v>
      </c>
      <c r="X16" s="5">
        <v>3750</v>
      </c>
      <c r="Y16" s="5">
        <v>3462</v>
      </c>
      <c r="Z16" s="5">
        <v>3747</v>
      </c>
      <c r="AA16" s="5">
        <v>4016</v>
      </c>
      <c r="AB16" s="5">
        <v>3914</v>
      </c>
      <c r="AC16" s="5">
        <v>4374</v>
      </c>
      <c r="AD16" s="5">
        <v>4646</v>
      </c>
      <c r="AE16" s="5">
        <v>4993</v>
      </c>
      <c r="AF16" s="5">
        <v>4993</v>
      </c>
      <c r="AG16" s="5">
        <v>4656</v>
      </c>
      <c r="AH16" s="5">
        <v>5214</v>
      </c>
      <c r="AI16" s="5">
        <v>5602</v>
      </c>
      <c r="AJ16" s="5">
        <v>5257</v>
      </c>
      <c r="AK16" s="5">
        <v>5553</v>
      </c>
      <c r="AL16" s="5">
        <f t="shared" ref="AL16" si="90">AL15*0.19</f>
        <v>6021.7848360000007</v>
      </c>
      <c r="AN16" s="5">
        <f>SUM(C16:F16)</f>
        <v>4412</v>
      </c>
      <c r="AO16" s="5">
        <f>SUM(G16:J16)-13800</f>
        <v>6103</v>
      </c>
      <c r="AP16" s="5">
        <f>SUM(K16:N16)</f>
        <v>4448</v>
      </c>
      <c r="AQ16" s="5">
        <f>SUM(O16:R16)</f>
        <v>8755</v>
      </c>
      <c r="AR16" s="5">
        <f>SUM(S16:V16)</f>
        <v>9831</v>
      </c>
      <c r="AS16" s="5">
        <f>SUM(W16:Z16)</f>
        <v>10978</v>
      </c>
      <c r="AT16" s="5">
        <f>SUM(AA16:AD16)</f>
        <v>16950</v>
      </c>
      <c r="AU16" s="5">
        <f>SUM(AE16:AH16)</f>
        <v>19856</v>
      </c>
      <c r="AV16" s="5">
        <f>SUM(AI16:AL16)</f>
        <v>22433.784835999999</v>
      </c>
      <c r="AW16" s="5">
        <f t="shared" ref="AW16:BD16" si="91">AW15*0.19</f>
        <v>27416.22136689</v>
      </c>
      <c r="AX16" s="5">
        <f t="shared" si="91"/>
        <v>29657.075444914895</v>
      </c>
      <c r="AY16" s="5">
        <f t="shared" si="91"/>
        <v>31544.751215035769</v>
      </c>
      <c r="AZ16" s="5">
        <f t="shared" si="91"/>
        <v>33268.517973603863</v>
      </c>
      <c r="BA16" s="5">
        <f t="shared" si="91"/>
        <v>34694.34930963409</v>
      </c>
      <c r="BB16" s="5">
        <f t="shared" si="91"/>
        <v>35793.341652312512</v>
      </c>
      <c r="BC16" s="5">
        <f t="shared" si="91"/>
        <v>36926.427835339586</v>
      </c>
      <c r="BD16" s="5">
        <f t="shared" si="91"/>
        <v>37666.954115055021</v>
      </c>
      <c r="BE16" s="5">
        <f t="shared" ref="BE16:BF16" si="92">BE15*0.19</f>
        <v>38422.310897594842</v>
      </c>
      <c r="BF16" s="5">
        <f t="shared" si="92"/>
        <v>39192.794992787836</v>
      </c>
    </row>
    <row r="17" spans="2:179" s="6" customFormat="1" x14ac:dyDescent="0.3">
      <c r="B17" s="6" t="s">
        <v>40</v>
      </c>
      <c r="C17" s="7">
        <f t="shared" ref="C17:R17" si="93">C15-C16</f>
        <v>5397</v>
      </c>
      <c r="D17" s="7">
        <f t="shared" si="93"/>
        <v>6267</v>
      </c>
      <c r="E17" s="7">
        <f t="shared" si="93"/>
        <v>5486</v>
      </c>
      <c r="F17" s="7">
        <f t="shared" si="93"/>
        <v>8069</v>
      </c>
      <c r="G17" s="7">
        <f t="shared" si="93"/>
        <v>6576</v>
      </c>
      <c r="H17" s="7">
        <f t="shared" si="93"/>
        <v>-6302</v>
      </c>
      <c r="I17" s="7">
        <f t="shared" si="93"/>
        <v>7424</v>
      </c>
      <c r="J17" s="7">
        <f t="shared" si="93"/>
        <v>8873</v>
      </c>
      <c r="K17" s="7">
        <f t="shared" si="93"/>
        <v>8824</v>
      </c>
      <c r="L17" s="7">
        <f t="shared" si="93"/>
        <v>8420</v>
      </c>
      <c r="M17" s="7">
        <f t="shared" si="93"/>
        <v>8809</v>
      </c>
      <c r="N17" s="7">
        <f t="shared" si="93"/>
        <v>13187</v>
      </c>
      <c r="O17" s="7">
        <f t="shared" si="93"/>
        <v>10678</v>
      </c>
      <c r="P17" s="7">
        <f t="shared" si="93"/>
        <v>11649</v>
      </c>
      <c r="Q17" s="7">
        <f t="shared" si="93"/>
        <v>10752</v>
      </c>
      <c r="R17" s="7">
        <f t="shared" si="93"/>
        <v>11202</v>
      </c>
      <c r="S17" s="7">
        <f t="shared" ref="S17:V17" si="94">S15-S16</f>
        <v>13893</v>
      </c>
      <c r="T17" s="7">
        <f t="shared" si="94"/>
        <v>15463</v>
      </c>
      <c r="U17" s="7">
        <f t="shared" si="94"/>
        <v>15457</v>
      </c>
      <c r="V17" s="7">
        <f t="shared" si="94"/>
        <v>16458</v>
      </c>
      <c r="W17" s="7">
        <f t="shared" ref="W17:X17" si="95">W15-W16</f>
        <v>20505</v>
      </c>
      <c r="X17" s="7">
        <f t="shared" si="95"/>
        <v>17596</v>
      </c>
      <c r="Y17" s="7">
        <f t="shared" ref="Y17" si="96">Y15-Y16</f>
        <v>16728</v>
      </c>
      <c r="Z17" s="7">
        <f t="shared" ref="Z17" si="97">Z15-Z16</f>
        <v>16740</v>
      </c>
      <c r="AA17" s="7">
        <f t="shared" ref="AA17" si="98">AA15-AA16</f>
        <v>17556</v>
      </c>
      <c r="AB17" s="7">
        <f t="shared" ref="AB17:AC17" si="99">AB15-AB16</f>
        <v>16425</v>
      </c>
      <c r="AC17" s="7">
        <f t="shared" si="99"/>
        <v>18299</v>
      </c>
      <c r="AD17" s="7">
        <f t="shared" ref="AD17:AE17" si="100">AD15-AD16</f>
        <v>20081</v>
      </c>
      <c r="AE17" s="7">
        <f t="shared" si="100"/>
        <v>22291</v>
      </c>
      <c r="AF17" s="7">
        <f t="shared" ref="AF17:AG17" si="101">AF15-AF16</f>
        <v>22291</v>
      </c>
      <c r="AG17" s="7">
        <f t="shared" si="101"/>
        <v>21870</v>
      </c>
      <c r="AH17" s="7">
        <f t="shared" ref="AH17:AI17" si="102">AH15-AH16</f>
        <v>22036</v>
      </c>
      <c r="AI17" s="7">
        <f t="shared" si="102"/>
        <v>24667</v>
      </c>
      <c r="AJ17" s="7">
        <f t="shared" ref="AJ17:AL17" si="103">AJ15-AJ16</f>
        <v>24108</v>
      </c>
      <c r="AK17" s="7">
        <f t="shared" si="103"/>
        <v>25824</v>
      </c>
      <c r="AL17" s="7">
        <f t="shared" si="103"/>
        <v>25671.819564000005</v>
      </c>
      <c r="AN17" s="7">
        <f>AN15-AN16</f>
        <v>25219</v>
      </c>
      <c r="AO17" s="7">
        <f>AO15-AO16</f>
        <v>30371</v>
      </c>
      <c r="AP17" s="7">
        <f>AP15-AP16</f>
        <v>39240</v>
      </c>
      <c r="AQ17" s="7">
        <f>AQ15-AQ16</f>
        <v>44281</v>
      </c>
      <c r="AR17" s="7">
        <f t="shared" ref="AR17:BA17" si="104">AR15-AR16</f>
        <v>61271</v>
      </c>
      <c r="AS17" s="7">
        <f t="shared" ref="AS17:AT17" si="105">AS15-AS16</f>
        <v>71569</v>
      </c>
      <c r="AT17" s="7">
        <f t="shared" si="105"/>
        <v>72361</v>
      </c>
      <c r="AU17" s="7">
        <f t="shared" ref="AU17" si="106">AU15-AU16</f>
        <v>88488</v>
      </c>
      <c r="AV17" s="7">
        <f t="shared" si="104"/>
        <v>100270.81956400006</v>
      </c>
      <c r="AW17" s="7">
        <f t="shared" si="104"/>
        <v>116879.68056410999</v>
      </c>
      <c r="AX17" s="7">
        <f t="shared" si="104"/>
        <v>126432.79531779507</v>
      </c>
      <c r="AY17" s="7">
        <f t="shared" si="104"/>
        <v>134480.25517988933</v>
      </c>
      <c r="AZ17" s="7">
        <f t="shared" si="104"/>
        <v>141828.94504536386</v>
      </c>
      <c r="BA17" s="7">
        <f t="shared" si="104"/>
        <v>147907.48916212429</v>
      </c>
      <c r="BB17" s="7">
        <f t="shared" ref="BB17:BD17" si="107">BB15-BB16</f>
        <v>152592.66704406912</v>
      </c>
      <c r="BC17" s="7">
        <f t="shared" si="107"/>
        <v>157423.19235065824</v>
      </c>
      <c r="BD17" s="7">
        <f t="shared" si="107"/>
        <v>160580.17280628718</v>
      </c>
      <c r="BE17" s="7">
        <f t="shared" ref="BE17:BF17" si="108">BE15-BE16</f>
        <v>163800.37803711483</v>
      </c>
      <c r="BF17" s="7">
        <f t="shared" si="108"/>
        <v>167085.07339030603</v>
      </c>
      <c r="BG17" s="6">
        <f>BF17*(1+$BI$21)</f>
        <v>165414.22265640297</v>
      </c>
      <c r="BH17" s="6">
        <f t="shared" ref="BH17:DS17" si="109">BG17*(1+$BI$21)</f>
        <v>163760.08042983894</v>
      </c>
      <c r="BI17" s="6">
        <f t="shared" si="109"/>
        <v>162122.47962554055</v>
      </c>
      <c r="BJ17" s="6">
        <f t="shared" si="109"/>
        <v>160501.25482928514</v>
      </c>
      <c r="BK17" s="6">
        <f t="shared" si="109"/>
        <v>158896.2422809923</v>
      </c>
      <c r="BL17" s="6">
        <f t="shared" si="109"/>
        <v>157307.27985818239</v>
      </c>
      <c r="BM17" s="6">
        <f t="shared" si="109"/>
        <v>155734.20705960057</v>
      </c>
      <c r="BN17" s="6">
        <f t="shared" si="109"/>
        <v>154176.86498900456</v>
      </c>
      <c r="BO17" s="6">
        <f t="shared" si="109"/>
        <v>152635.09633911451</v>
      </c>
      <c r="BP17" s="6">
        <f t="shared" si="109"/>
        <v>151108.74537572335</v>
      </c>
      <c r="BQ17" s="6">
        <f t="shared" si="109"/>
        <v>149597.65792196611</v>
      </c>
      <c r="BR17" s="6">
        <f t="shared" si="109"/>
        <v>148101.68134274645</v>
      </c>
      <c r="BS17" s="6">
        <f t="shared" si="109"/>
        <v>146620.66452931898</v>
      </c>
      <c r="BT17" s="6">
        <f t="shared" si="109"/>
        <v>145154.45788402579</v>
      </c>
      <c r="BU17" s="6">
        <f t="shared" si="109"/>
        <v>143702.91330518553</v>
      </c>
      <c r="BV17" s="6">
        <f t="shared" si="109"/>
        <v>142265.88417213366</v>
      </c>
      <c r="BW17" s="6">
        <f t="shared" si="109"/>
        <v>140843.22533041233</v>
      </c>
      <c r="BX17" s="6">
        <f t="shared" si="109"/>
        <v>139434.79307710822</v>
      </c>
      <c r="BY17" s="6">
        <f t="shared" si="109"/>
        <v>138040.44514633712</v>
      </c>
      <c r="BZ17" s="6">
        <f t="shared" si="109"/>
        <v>136660.04069487375</v>
      </c>
      <c r="CA17" s="6">
        <f t="shared" si="109"/>
        <v>135293.44028792501</v>
      </c>
      <c r="CB17" s="6">
        <f t="shared" si="109"/>
        <v>133940.50588504577</v>
      </c>
      <c r="CC17" s="6">
        <f t="shared" si="109"/>
        <v>132601.10082619532</v>
      </c>
      <c r="CD17" s="6">
        <f t="shared" si="109"/>
        <v>131275.08981793336</v>
      </c>
      <c r="CE17" s="6">
        <f t="shared" si="109"/>
        <v>129962.33891975402</v>
      </c>
      <c r="CF17" s="6">
        <f t="shared" si="109"/>
        <v>128662.71553055648</v>
      </c>
      <c r="CG17" s="6">
        <f t="shared" si="109"/>
        <v>127376.08837525091</v>
      </c>
      <c r="CH17" s="6">
        <f t="shared" si="109"/>
        <v>126102.32749149841</v>
      </c>
      <c r="CI17" s="6">
        <f t="shared" si="109"/>
        <v>124841.30421658342</v>
      </c>
      <c r="CJ17" s="6">
        <f t="shared" si="109"/>
        <v>123592.89117441759</v>
      </c>
      <c r="CK17" s="6">
        <f t="shared" si="109"/>
        <v>122356.96226267341</v>
      </c>
      <c r="CL17" s="6">
        <f t="shared" si="109"/>
        <v>121133.39264004667</v>
      </c>
      <c r="CM17" s="6">
        <f t="shared" si="109"/>
        <v>119922.05871364621</v>
      </c>
      <c r="CN17" s="6">
        <f t="shared" si="109"/>
        <v>118722.83812650976</v>
      </c>
      <c r="CO17" s="6">
        <f t="shared" si="109"/>
        <v>117535.60974524466</v>
      </c>
      <c r="CP17" s="6">
        <f t="shared" si="109"/>
        <v>116360.25364779221</v>
      </c>
      <c r="CQ17" s="6">
        <f t="shared" si="109"/>
        <v>115196.65111131429</v>
      </c>
      <c r="CR17" s="6">
        <f t="shared" si="109"/>
        <v>114044.68460020114</v>
      </c>
      <c r="CS17" s="6">
        <f t="shared" si="109"/>
        <v>112904.23775419913</v>
      </c>
      <c r="CT17" s="6">
        <f t="shared" si="109"/>
        <v>111775.19537665714</v>
      </c>
      <c r="CU17" s="6">
        <f t="shared" si="109"/>
        <v>110657.44342289056</v>
      </c>
      <c r="CV17" s="6">
        <f t="shared" si="109"/>
        <v>109550.86898866165</v>
      </c>
      <c r="CW17" s="6">
        <f t="shared" si="109"/>
        <v>108455.36029877503</v>
      </c>
      <c r="CX17" s="6">
        <f t="shared" si="109"/>
        <v>107370.80669578728</v>
      </c>
      <c r="CY17" s="6">
        <f t="shared" si="109"/>
        <v>106297.09862882941</v>
      </c>
      <c r="CZ17" s="6">
        <f t="shared" si="109"/>
        <v>105234.12764254112</v>
      </c>
      <c r="DA17" s="6">
        <f t="shared" si="109"/>
        <v>104181.7863661157</v>
      </c>
      <c r="DB17" s="6">
        <f t="shared" si="109"/>
        <v>103139.96850245455</v>
      </c>
      <c r="DC17" s="6">
        <f t="shared" si="109"/>
        <v>102108.56881743</v>
      </c>
      <c r="DD17" s="6">
        <f t="shared" si="109"/>
        <v>101087.48312925571</v>
      </c>
      <c r="DE17" s="6">
        <f t="shared" si="109"/>
        <v>100076.60829796315</v>
      </c>
      <c r="DF17" s="6">
        <f t="shared" si="109"/>
        <v>99075.84221498351</v>
      </c>
      <c r="DG17" s="6">
        <f t="shared" si="109"/>
        <v>98085.08379283367</v>
      </c>
      <c r="DH17" s="6">
        <f t="shared" si="109"/>
        <v>97104.232954905339</v>
      </c>
      <c r="DI17" s="6">
        <f t="shared" si="109"/>
        <v>96133.190625356292</v>
      </c>
      <c r="DJ17" s="6">
        <f t="shared" si="109"/>
        <v>95171.858719102733</v>
      </c>
      <c r="DK17" s="6">
        <f t="shared" si="109"/>
        <v>94220.140131911699</v>
      </c>
      <c r="DL17" s="6">
        <f t="shared" si="109"/>
        <v>93277.938730592577</v>
      </c>
      <c r="DM17" s="6">
        <f t="shared" si="109"/>
        <v>92345.15934328665</v>
      </c>
      <c r="DN17" s="6">
        <f t="shared" si="109"/>
        <v>91421.707749853784</v>
      </c>
      <c r="DO17" s="6">
        <f t="shared" si="109"/>
        <v>90507.490672355241</v>
      </c>
      <c r="DP17" s="6">
        <f t="shared" si="109"/>
        <v>89602.415765631682</v>
      </c>
      <c r="DQ17" s="6">
        <f t="shared" si="109"/>
        <v>88706.391607975369</v>
      </c>
      <c r="DR17" s="6">
        <f t="shared" si="109"/>
        <v>87819.327691895611</v>
      </c>
      <c r="DS17" s="6">
        <f t="shared" si="109"/>
        <v>86941.134414976652</v>
      </c>
      <c r="DT17" s="6">
        <f t="shared" ref="DT17:FW17" si="110">DS17*(1+$BI$21)</f>
        <v>86071.723070826891</v>
      </c>
      <c r="DU17" s="6">
        <f t="shared" si="110"/>
        <v>85211.005840118625</v>
      </c>
      <c r="DV17" s="6">
        <f t="shared" si="110"/>
        <v>84358.895781717438</v>
      </c>
      <c r="DW17" s="6">
        <f t="shared" si="110"/>
        <v>83515.30682390026</v>
      </c>
      <c r="DX17" s="6">
        <f t="shared" si="110"/>
        <v>82680.15375566126</v>
      </c>
      <c r="DY17" s="6">
        <f t="shared" si="110"/>
        <v>81853.352218104643</v>
      </c>
      <c r="DZ17" s="6">
        <f t="shared" si="110"/>
        <v>81034.81869592359</v>
      </c>
      <c r="EA17" s="6">
        <f t="shared" si="110"/>
        <v>80224.470508964354</v>
      </c>
      <c r="EB17" s="6">
        <f t="shared" si="110"/>
        <v>79422.22580387471</v>
      </c>
      <c r="EC17" s="6">
        <f t="shared" si="110"/>
        <v>78628.003545835963</v>
      </c>
      <c r="ED17" s="6">
        <f t="shared" si="110"/>
        <v>77841.723510377604</v>
      </c>
      <c r="EE17" s="6">
        <f t="shared" si="110"/>
        <v>77063.306275273833</v>
      </c>
      <c r="EF17" s="6">
        <f t="shared" si="110"/>
        <v>76292.673212521098</v>
      </c>
      <c r="EG17" s="6">
        <f t="shared" si="110"/>
        <v>75529.746480395886</v>
      </c>
      <c r="EH17" s="6">
        <f t="shared" si="110"/>
        <v>74774.449015591934</v>
      </c>
      <c r="EI17" s="6">
        <f t="shared" si="110"/>
        <v>74026.704525436013</v>
      </c>
      <c r="EJ17" s="6">
        <f t="shared" si="110"/>
        <v>73286.437480181645</v>
      </c>
      <c r="EK17" s="6">
        <f t="shared" si="110"/>
        <v>72553.573105379823</v>
      </c>
      <c r="EL17" s="6">
        <f t="shared" si="110"/>
        <v>71828.037374326028</v>
      </c>
      <c r="EM17" s="6">
        <f t="shared" si="110"/>
        <v>71109.757000582773</v>
      </c>
      <c r="EN17" s="6">
        <f t="shared" si="110"/>
        <v>70398.659430576939</v>
      </c>
      <c r="EO17" s="6">
        <f t="shared" si="110"/>
        <v>69694.672836271173</v>
      </c>
      <c r="EP17" s="6">
        <f t="shared" si="110"/>
        <v>68997.726107908456</v>
      </c>
      <c r="EQ17" s="6">
        <f t="shared" si="110"/>
        <v>68307.748846829374</v>
      </c>
      <c r="ER17" s="6">
        <f t="shared" si="110"/>
        <v>67624.671358361084</v>
      </c>
      <c r="ES17" s="6">
        <f t="shared" si="110"/>
        <v>66948.424644777479</v>
      </c>
      <c r="ET17" s="6">
        <f t="shared" si="110"/>
        <v>66278.940398329709</v>
      </c>
      <c r="EU17" s="6">
        <f t="shared" si="110"/>
        <v>65616.150994346404</v>
      </c>
      <c r="EV17" s="6">
        <f t="shared" si="110"/>
        <v>64959.98948440294</v>
      </c>
      <c r="EW17" s="6">
        <f t="shared" si="110"/>
        <v>64310.389589558908</v>
      </c>
      <c r="EX17" s="6">
        <f t="shared" si="110"/>
        <v>63667.285693663318</v>
      </c>
      <c r="EY17" s="6">
        <f t="shared" si="110"/>
        <v>63030.612836726687</v>
      </c>
      <c r="EZ17" s="6">
        <f t="shared" si="110"/>
        <v>62400.306708359421</v>
      </c>
      <c r="FA17" s="6">
        <f t="shared" si="110"/>
        <v>61776.30364127583</v>
      </c>
      <c r="FB17" s="6">
        <f t="shared" si="110"/>
        <v>61158.540604863068</v>
      </c>
      <c r="FC17" s="6">
        <f t="shared" si="110"/>
        <v>60546.955198814438</v>
      </c>
      <c r="FD17" s="6">
        <f t="shared" si="110"/>
        <v>59941.485646826295</v>
      </c>
      <c r="FE17" s="6">
        <f t="shared" si="110"/>
        <v>59342.070790358033</v>
      </c>
      <c r="FF17" s="6">
        <f t="shared" si="110"/>
        <v>58748.650082454449</v>
      </c>
      <c r="FG17" s="6">
        <f t="shared" si="110"/>
        <v>58161.163581629902</v>
      </c>
      <c r="FH17" s="6">
        <f t="shared" si="110"/>
        <v>57579.551945813604</v>
      </c>
      <c r="FI17" s="6">
        <f t="shared" si="110"/>
        <v>57003.756426355467</v>
      </c>
      <c r="FJ17" s="6">
        <f t="shared" si="110"/>
        <v>56433.718862091911</v>
      </c>
      <c r="FK17" s="6">
        <f t="shared" si="110"/>
        <v>55869.381673470991</v>
      </c>
      <c r="FL17" s="6">
        <f t="shared" si="110"/>
        <v>55310.68785673628</v>
      </c>
      <c r="FM17" s="6">
        <f t="shared" si="110"/>
        <v>54757.580978168917</v>
      </c>
      <c r="FN17" s="6">
        <f t="shared" si="110"/>
        <v>54210.00516838723</v>
      </c>
      <c r="FO17" s="6">
        <f t="shared" si="110"/>
        <v>53667.905116703354</v>
      </c>
      <c r="FP17" s="6">
        <f t="shared" si="110"/>
        <v>53131.226065536321</v>
      </c>
      <c r="FQ17" s="6">
        <f t="shared" si="110"/>
        <v>52599.913804880955</v>
      </c>
      <c r="FR17" s="6">
        <f t="shared" si="110"/>
        <v>52073.914666832141</v>
      </c>
      <c r="FS17" s="6">
        <f t="shared" si="110"/>
        <v>51553.175520163823</v>
      </c>
      <c r="FT17" s="6">
        <f t="shared" si="110"/>
        <v>51037.64376496218</v>
      </c>
      <c r="FU17" s="6">
        <f t="shared" si="110"/>
        <v>50527.267327312555</v>
      </c>
      <c r="FV17" s="6">
        <f t="shared" si="110"/>
        <v>50021.99465403943</v>
      </c>
      <c r="FW17" s="6">
        <f t="shared" si="110"/>
        <v>49521.774707499033</v>
      </c>
    </row>
    <row r="18" spans="2:179" x14ac:dyDescent="0.3">
      <c r="B18" t="s">
        <v>2</v>
      </c>
      <c r="C18" s="5">
        <v>7567</v>
      </c>
      <c r="D18" s="5">
        <v>7567</v>
      </c>
      <c r="E18" s="5">
        <v>7567</v>
      </c>
      <c r="F18" s="5">
        <v>7567</v>
      </c>
      <c r="G18" s="5">
        <v>7567</v>
      </c>
      <c r="H18" s="5">
        <v>7567</v>
      </c>
      <c r="I18" s="5">
        <v>7567</v>
      </c>
      <c r="J18" s="5">
        <v>7567</v>
      </c>
      <c r="K18" s="5">
        <v>7567</v>
      </c>
      <c r="L18" s="5">
        <v>7567</v>
      </c>
      <c r="M18" s="5">
        <v>7567</v>
      </c>
      <c r="N18" s="5">
        <v>7567</v>
      </c>
      <c r="O18" s="5">
        <v>7567</v>
      </c>
      <c r="P18" s="5">
        <v>7567</v>
      </c>
      <c r="Q18" s="5">
        <v>7567</v>
      </c>
      <c r="R18" s="5">
        <v>7567</v>
      </c>
      <c r="S18" s="5">
        <v>7567</v>
      </c>
      <c r="T18" s="5">
        <v>7567</v>
      </c>
      <c r="U18" s="5">
        <v>7531.6</v>
      </c>
      <c r="V18" s="5">
        <v>7531.6</v>
      </c>
      <c r="W18" s="5">
        <v>7432.3</v>
      </c>
      <c r="X18" s="5">
        <v>7432.3</v>
      </c>
      <c r="Y18" s="5">
        <v>7432.3</v>
      </c>
      <c r="Z18" s="5">
        <v>7432.3</v>
      </c>
      <c r="AA18" s="5">
        <v>7432.3</v>
      </c>
      <c r="AB18" s="5">
        <v>7432.3</v>
      </c>
      <c r="AC18" s="5">
        <v>7432.3</v>
      </c>
      <c r="AD18" s="5">
        <v>7432.3</v>
      </c>
      <c r="AE18" s="5">
        <v>7432.3</v>
      </c>
      <c r="AF18" s="5">
        <v>7432.3</v>
      </c>
      <c r="AG18" s="5">
        <v>7432.3</v>
      </c>
      <c r="AH18" s="5">
        <v>7433</v>
      </c>
      <c r="AI18" s="5">
        <v>7433</v>
      </c>
      <c r="AJ18" s="5">
        <v>7434</v>
      </c>
      <c r="AK18" s="5">
        <f>7432.5</f>
        <v>7432.5</v>
      </c>
      <c r="AL18" s="5">
        <f>7432.5</f>
        <v>7432.5</v>
      </c>
      <c r="AN18" s="5">
        <v>7567</v>
      </c>
      <c r="AO18" s="5">
        <v>7567</v>
      </c>
      <c r="AP18" s="5">
        <v>7567</v>
      </c>
      <c r="AQ18" s="5">
        <v>7567</v>
      </c>
      <c r="AR18" s="5">
        <v>7531.6</v>
      </c>
      <c r="AS18" s="5">
        <v>7432.3</v>
      </c>
      <c r="AT18" s="5">
        <v>7432.3</v>
      </c>
      <c r="AU18" s="5">
        <v>7433</v>
      </c>
      <c r="AV18" s="5">
        <f t="shared" ref="AV18:BF18" si="111">7432.5</f>
        <v>7432.5</v>
      </c>
      <c r="AW18" s="5">
        <f t="shared" si="111"/>
        <v>7432.5</v>
      </c>
      <c r="AX18" s="5">
        <f t="shared" si="111"/>
        <v>7432.5</v>
      </c>
      <c r="AY18" s="5">
        <f t="shared" si="111"/>
        <v>7432.5</v>
      </c>
      <c r="AZ18" s="5">
        <f t="shared" si="111"/>
        <v>7432.5</v>
      </c>
      <c r="BA18" s="5">
        <f t="shared" si="111"/>
        <v>7432.5</v>
      </c>
      <c r="BB18" s="5">
        <f t="shared" si="111"/>
        <v>7432.5</v>
      </c>
      <c r="BC18" s="5">
        <f t="shared" si="111"/>
        <v>7432.5</v>
      </c>
      <c r="BD18" s="5">
        <f t="shared" si="111"/>
        <v>7432.5</v>
      </c>
      <c r="BE18" s="5">
        <f t="shared" si="111"/>
        <v>7432.5</v>
      </c>
      <c r="BF18" s="5">
        <f t="shared" si="111"/>
        <v>7432.5</v>
      </c>
    </row>
    <row r="19" spans="2:179" s="6" customFormat="1" x14ac:dyDescent="0.3">
      <c r="B19" s="6" t="s">
        <v>41</v>
      </c>
      <c r="C19" s="8">
        <f t="shared" ref="C19:R19" si="112">C17/C18</f>
        <v>0.71322849213691031</v>
      </c>
      <c r="D19" s="8">
        <f t="shared" si="112"/>
        <v>0.82820140081934712</v>
      </c>
      <c r="E19" s="8">
        <f t="shared" si="112"/>
        <v>0.72499008854235492</v>
      </c>
      <c r="F19" s="8">
        <f t="shared" si="112"/>
        <v>1.0663406898374521</v>
      </c>
      <c r="G19" s="8">
        <f t="shared" si="112"/>
        <v>0.86903660631690238</v>
      </c>
      <c r="H19" s="8">
        <f t="shared" si="112"/>
        <v>-0.83282674772036469</v>
      </c>
      <c r="I19" s="8">
        <f t="shared" si="112"/>
        <v>0.98110215409012824</v>
      </c>
      <c r="J19" s="8">
        <f t="shared" si="112"/>
        <v>1.172591515792256</v>
      </c>
      <c r="K19" s="8">
        <f t="shared" si="112"/>
        <v>1.1661160301308313</v>
      </c>
      <c r="L19" s="8">
        <f t="shared" si="112"/>
        <v>1.1127263116162283</v>
      </c>
      <c r="M19" s="8">
        <f t="shared" si="112"/>
        <v>1.1641337386018238</v>
      </c>
      <c r="N19" s="8">
        <f t="shared" si="112"/>
        <v>1.7426985595348223</v>
      </c>
      <c r="O19" s="8">
        <f t="shared" si="112"/>
        <v>1.4111272631161622</v>
      </c>
      <c r="P19" s="8">
        <f t="shared" si="112"/>
        <v>1.5394476014272498</v>
      </c>
      <c r="Q19" s="8">
        <f t="shared" si="112"/>
        <v>1.4209065679925994</v>
      </c>
      <c r="R19" s="8">
        <f t="shared" si="112"/>
        <v>1.4803753138628255</v>
      </c>
      <c r="S19" s="8">
        <f t="shared" ref="S19:V19" si="113">S17/S18</f>
        <v>1.8359984141667769</v>
      </c>
      <c r="T19" s="8">
        <f t="shared" si="113"/>
        <v>2.0434782608695654</v>
      </c>
      <c r="U19" s="8">
        <f t="shared" si="113"/>
        <v>2.052286366774656</v>
      </c>
      <c r="V19" s="8">
        <f t="shared" si="113"/>
        <v>2.1851930532688937</v>
      </c>
      <c r="W19" s="8">
        <f t="shared" ref="W19:X19" si="114">W17/W18</f>
        <v>2.7589037041023641</v>
      </c>
      <c r="X19" s="8">
        <f t="shared" si="114"/>
        <v>2.3675040027985954</v>
      </c>
      <c r="Y19" s="8">
        <f t="shared" ref="Y19" si="115">Y17/Y18</f>
        <v>2.2507164673115994</v>
      </c>
      <c r="Z19" s="8">
        <f t="shared" ref="Z19" si="116">Z17/Z18</f>
        <v>2.252331041534922</v>
      </c>
      <c r="AA19" s="8">
        <f t="shared" ref="AA19" si="117">AA17/AA18</f>
        <v>2.3621220887208536</v>
      </c>
      <c r="AB19" s="8">
        <f t="shared" ref="AB19:AC19" si="118">AB17/AB18</f>
        <v>2.2099484681727057</v>
      </c>
      <c r="AC19" s="8">
        <f t="shared" si="118"/>
        <v>2.4620911427149066</v>
      </c>
      <c r="AD19" s="8">
        <f t="shared" ref="AD19:AE19" si="119">AD17/AD18</f>
        <v>2.7018554148783016</v>
      </c>
      <c r="AE19" s="8">
        <f t="shared" si="119"/>
        <v>2.9992061676735329</v>
      </c>
      <c r="AF19" s="8">
        <f t="shared" ref="AF19:AG19" si="120">AF17/AF18</f>
        <v>2.9992061676735329</v>
      </c>
      <c r="AG19" s="8">
        <f t="shared" si="120"/>
        <v>2.9425615220053012</v>
      </c>
      <c r="AH19" s="8">
        <f t="shared" ref="AH19:AI19" si="121">AH17/AH18</f>
        <v>2.9646172474101977</v>
      </c>
      <c r="AI19" s="8">
        <f t="shared" si="121"/>
        <v>3.3185793084891699</v>
      </c>
      <c r="AJ19" s="8">
        <f t="shared" ref="AJ19:AL19" si="122">AJ17/AJ18</f>
        <v>3.2429378531073447</v>
      </c>
      <c r="AK19" s="8">
        <f t="shared" si="122"/>
        <v>3.474470232088799</v>
      </c>
      <c r="AL19" s="8">
        <f t="shared" si="122"/>
        <v>3.453995232290616</v>
      </c>
      <c r="AN19" s="8">
        <f>AN17/AN18</f>
        <v>3.3327606713360645</v>
      </c>
      <c r="AO19" s="8">
        <f>AO17/AO18</f>
        <v>4.0136117351658518</v>
      </c>
      <c r="AP19" s="8">
        <f>AP17/AP18</f>
        <v>5.1856746398837057</v>
      </c>
      <c r="AQ19" s="8">
        <f>AQ17/AQ18</f>
        <v>5.8518567463988367</v>
      </c>
      <c r="AR19" s="8">
        <f t="shared" ref="AR19:BA19" si="123">AR17/AR18</f>
        <v>8.135190397790641</v>
      </c>
      <c r="AS19" s="8">
        <f t="shared" ref="AS19:AT19" si="124">AS17/AS18</f>
        <v>9.6294552157474804</v>
      </c>
      <c r="AT19" s="8">
        <f t="shared" si="124"/>
        <v>9.7360171144867671</v>
      </c>
      <c r="AU19" s="8">
        <f t="shared" ref="AU19" si="125">AU17/AU18</f>
        <v>11.904749091887529</v>
      </c>
      <c r="AV19" s="8">
        <f t="shared" si="123"/>
        <v>13.490860351698629</v>
      </c>
      <c r="AW19" s="8">
        <f t="shared" si="123"/>
        <v>15.725486789654893</v>
      </c>
      <c r="AX19" s="8">
        <f t="shared" si="123"/>
        <v>17.010803271819047</v>
      </c>
      <c r="AY19" s="8">
        <f t="shared" si="123"/>
        <v>18.093542573816258</v>
      </c>
      <c r="AZ19" s="8">
        <f t="shared" si="123"/>
        <v>19.082266403681651</v>
      </c>
      <c r="BA19" s="8">
        <f t="shared" si="123"/>
        <v>19.900099449999903</v>
      </c>
      <c r="BB19" s="8">
        <f t="shared" ref="BB19:BD19" si="126">BB17/BB18</f>
        <v>20.53046310717378</v>
      </c>
      <c r="BC19" s="8">
        <f t="shared" si="126"/>
        <v>21.180382421884726</v>
      </c>
      <c r="BD19" s="8">
        <f t="shared" si="126"/>
        <v>21.605135930882906</v>
      </c>
      <c r="BE19" s="8">
        <f t="shared" ref="BE19:BF19" si="127">BE17/BE18</f>
        <v>22.038395968666645</v>
      </c>
      <c r="BF19" s="8">
        <f t="shared" si="127"/>
        <v>22.480332780397717</v>
      </c>
    </row>
    <row r="21" spans="2:179" x14ac:dyDescent="0.3">
      <c r="B21" t="s">
        <v>99</v>
      </c>
      <c r="G21" s="9">
        <f t="shared" ref="G21:V22" si="128">G3/C3-1</f>
        <v>-2.7214587018641989E-2</v>
      </c>
      <c r="H21" s="9">
        <f t="shared" si="128"/>
        <v>-1.898976632189564E-2</v>
      </c>
      <c r="I21" s="9">
        <f t="shared" si="128"/>
        <v>4.141114862537032E-2</v>
      </c>
      <c r="J21" s="9">
        <f t="shared" si="128"/>
        <v>6.8630503830105161E-2</v>
      </c>
      <c r="K21" s="9">
        <f t="shared" si="128"/>
        <v>0.20988949503427046</v>
      </c>
      <c r="L21" s="9">
        <f t="shared" si="128"/>
        <v>-9.5224813120606933E-2</v>
      </c>
      <c r="M21" s="9">
        <f t="shared" si="128"/>
        <v>2.2098716421860454E-2</v>
      </c>
      <c r="N21" s="9">
        <f t="shared" si="128"/>
        <v>-3.2635934495016672E-3</v>
      </c>
      <c r="O21" s="9">
        <f t="shared" si="128"/>
        <v>-8.8502225562171244E-2</v>
      </c>
      <c r="P21" s="9">
        <f t="shared" si="128"/>
        <v>0.12553178371046303</v>
      </c>
      <c r="Q21" s="9">
        <f t="shared" si="128"/>
        <v>2.7382185396167769E-2</v>
      </c>
      <c r="R21" s="9">
        <f t="shared" si="128"/>
        <v>6.1041922469742049E-2</v>
      </c>
      <c r="S21" s="9">
        <f t="shared" si="128"/>
        <v>2.2196854388634168E-3</v>
      </c>
      <c r="T21" s="9">
        <f t="shared" si="128"/>
        <v>6.6009312517118612E-2</v>
      </c>
      <c r="U21" s="9">
        <f t="shared" si="128"/>
        <v>6.3134018020288618E-2</v>
      </c>
      <c r="V21" s="9">
        <f t="shared" si="128"/>
        <v>4.3588471923734051E-2</v>
      </c>
      <c r="W21" s="9">
        <f t="shared" ref="W21:X23" si="129">W3/S3-1</f>
        <v>5.2395114851610414E-2</v>
      </c>
      <c r="X21" s="9">
        <f t="shared" si="129"/>
        <v>6.7780061664953761E-2</v>
      </c>
      <c r="Y21" s="9">
        <f t="shared" ref="Y21:Y23" si="130">Y3/U3-1</f>
        <v>2.9218277721803965E-2</v>
      </c>
      <c r="Z21" s="9">
        <f t="shared" ref="Z21:Z23" si="131">Z3/V3-1</f>
        <v>-5.1853416411447917E-2</v>
      </c>
      <c r="AA21" s="9">
        <f t="shared" ref="AA21:AA23" si="132">AA3/W3-1</f>
        <v>-5.3514521075100685E-2</v>
      </c>
      <c r="AB21" s="9">
        <f t="shared" ref="AB21:AL23" si="133">AB3/X3-1</f>
        <v>-0.20511092930362385</v>
      </c>
      <c r="AC21" s="9">
        <f t="shared" si="133"/>
        <v>-0.10238396867442123</v>
      </c>
      <c r="AD21" s="9">
        <f t="shared" si="133"/>
        <v>-6.142793495210519E-2</v>
      </c>
      <c r="AE21" s="9">
        <f t="shared" si="133"/>
        <v>-1.3086843275522564E-2</v>
      </c>
      <c r="AF21" s="9">
        <f t="shared" si="133"/>
        <v>-5.9453895985953853E-2</v>
      </c>
      <c r="AG21" s="9">
        <f t="shared" si="133"/>
        <v>0.21510136002052871</v>
      </c>
      <c r="AH21" s="9">
        <f t="shared" si="133"/>
        <v>-0.2157479380525722</v>
      </c>
      <c r="AI21" s="9">
        <f t="shared" si="133"/>
        <v>-1.6929514000643686E-2</v>
      </c>
      <c r="AJ21" s="9">
        <f t="shared" si="133"/>
        <v>4.4029610556807208E-2</v>
      </c>
      <c r="AK21" s="9">
        <f t="shared" si="133"/>
        <v>-0.1912253840874294</v>
      </c>
      <c r="AL21" s="9">
        <f t="shared" si="133"/>
        <v>-1.0000000000000009E-2</v>
      </c>
      <c r="AO21" s="9">
        <f t="shared" ref="AO21:BD21" si="134">AO3/AN3-1</f>
        <v>1.5045403755055808E-2</v>
      </c>
      <c r="AP21" s="9">
        <f t="shared" si="134"/>
        <v>2.4373226661705161E-2</v>
      </c>
      <c r="AQ21" s="9">
        <f t="shared" si="134"/>
        <v>2.984758358685613E-2</v>
      </c>
      <c r="AR21" s="9">
        <f t="shared" si="134"/>
        <v>4.457606443173967E-2</v>
      </c>
      <c r="AS21" s="9">
        <f t="shared" si="134"/>
        <v>2.3327799195205001E-2</v>
      </c>
      <c r="AT21" s="9">
        <f t="shared" si="134"/>
        <v>-0.11044657097288679</v>
      </c>
      <c r="AU21" s="9">
        <f t="shared" si="134"/>
        <v>-2.2736054653085813E-2</v>
      </c>
      <c r="AV21" s="9">
        <f t="shared" si="134"/>
        <v>-5.2716676156133291E-2</v>
      </c>
      <c r="AW21" s="9">
        <f t="shared" si="134"/>
        <v>1.0000000000000009E-2</v>
      </c>
      <c r="AX21" s="9">
        <f t="shared" si="134"/>
        <v>1.0000000000000009E-2</v>
      </c>
      <c r="AY21" s="9">
        <f t="shared" si="134"/>
        <v>1.0000000000000009E-2</v>
      </c>
      <c r="AZ21" s="9">
        <f t="shared" si="134"/>
        <v>1.0000000000000009E-2</v>
      </c>
      <c r="BA21" s="9">
        <f t="shared" si="134"/>
        <v>1.0000000000000009E-2</v>
      </c>
      <c r="BB21" s="9">
        <f t="shared" si="134"/>
        <v>1.0000000000000009E-2</v>
      </c>
      <c r="BC21" s="9">
        <f t="shared" si="134"/>
        <v>1.0000000000000009E-2</v>
      </c>
      <c r="BD21" s="9">
        <f t="shared" si="134"/>
        <v>1.0000000000000009E-2</v>
      </c>
      <c r="BE21" s="9">
        <f t="shared" ref="BE21:BE23" si="135">BE3/BD3-1</f>
        <v>1.0000000000000009E-2</v>
      </c>
      <c r="BF21" s="9">
        <f t="shared" ref="BF21:BF23" si="136">BF3/BE3-1</f>
        <v>1.0000000000000009E-2</v>
      </c>
      <c r="BH21" t="s">
        <v>86</v>
      </c>
      <c r="BI21" s="9">
        <v>-0.01</v>
      </c>
    </row>
    <row r="22" spans="2:179" x14ac:dyDescent="0.3">
      <c r="B22" t="s">
        <v>85</v>
      </c>
      <c r="G22" s="9">
        <f t="shared" si="128"/>
        <v>0.47126436781609193</v>
      </c>
      <c r="H22" s="9">
        <f t="shared" si="128"/>
        <v>0.45531576856878053</v>
      </c>
      <c r="I22" s="9">
        <f t="shared" si="128"/>
        <v>0.34555696057018048</v>
      </c>
      <c r="J22" s="9">
        <f t="shared" si="128"/>
        <v>0.35379136992040228</v>
      </c>
      <c r="K22" s="9">
        <f t="shared" si="128"/>
        <v>0.15087890625</v>
      </c>
      <c r="L22" s="9">
        <f t="shared" si="128"/>
        <v>0.47852983988355158</v>
      </c>
      <c r="M22" s="9">
        <f t="shared" si="128"/>
        <v>0.29201196070055535</v>
      </c>
      <c r="N22" s="9">
        <f t="shared" si="128"/>
        <v>0.28531641652483364</v>
      </c>
      <c r="O22" s="9">
        <f t="shared" si="128"/>
        <v>0.46686465846414937</v>
      </c>
      <c r="P22" s="9">
        <f t="shared" si="128"/>
        <v>0.147612601525966</v>
      </c>
      <c r="Q22" s="9">
        <f t="shared" si="128"/>
        <v>0.26628314487866156</v>
      </c>
      <c r="R22" s="9">
        <f t="shared" si="128"/>
        <v>0.19694233778740822</v>
      </c>
      <c r="S22" s="9">
        <f t="shared" si="128"/>
        <v>0.23508995198704219</v>
      </c>
      <c r="T22" s="9">
        <f t="shared" si="128"/>
        <v>0.26620556538523399</v>
      </c>
      <c r="U22" s="9">
        <f t="shared" si="128"/>
        <v>0.29676240208877291</v>
      </c>
      <c r="V22" s="9">
        <f t="shared" si="128"/>
        <v>0.36850045257970421</v>
      </c>
      <c r="W22" s="9">
        <f t="shared" si="129"/>
        <v>0.34354362793311788</v>
      </c>
      <c r="X22" s="9">
        <f t="shared" si="129"/>
        <v>0.31050982384823844</v>
      </c>
      <c r="Y22" s="9">
        <f t="shared" si="130"/>
        <v>0.2883662867957959</v>
      </c>
      <c r="Z22" s="9">
        <f t="shared" si="131"/>
        <v>0.24601308150216794</v>
      </c>
      <c r="AA22" s="9">
        <f t="shared" si="132"/>
        <v>0.19852889911455063</v>
      </c>
      <c r="AB22" s="9">
        <f t="shared" si="133"/>
        <v>0.17063556173058902</v>
      </c>
      <c r="AC22" s="9">
        <f t="shared" si="133"/>
        <v>0.16487466399950002</v>
      </c>
      <c r="AD22" s="9">
        <f t="shared" si="133"/>
        <v>0.16004600548526948</v>
      </c>
      <c r="AE22" s="9">
        <f t="shared" si="133"/>
        <v>0.19199557895349173</v>
      </c>
      <c r="AF22" s="9">
        <f t="shared" si="133"/>
        <v>0.13116202042506209</v>
      </c>
      <c r="AG22" s="9">
        <f t="shared" si="133"/>
        <v>0.15589363814430213</v>
      </c>
      <c r="AH22" s="9">
        <f t="shared" si="133"/>
        <v>0.30948749237339834</v>
      </c>
      <c r="AI22" s="9">
        <f t="shared" si="133"/>
        <v>0.22768532526475038</v>
      </c>
      <c r="AJ22" s="9">
        <f t="shared" si="133"/>
        <v>0.30332829046898646</v>
      </c>
      <c r="AK22" s="9">
        <f t="shared" si="133"/>
        <v>0.27085122681585005</v>
      </c>
      <c r="AL22" s="9">
        <f t="shared" si="133"/>
        <v>0.19999999999999996</v>
      </c>
      <c r="AO22" s="9">
        <f t="shared" ref="AO22:BD22" si="137">AO4/AN4-1</f>
        <v>0.39996947496947488</v>
      </c>
      <c r="AP22" s="9">
        <f t="shared" si="137"/>
        <v>0.30331639884002359</v>
      </c>
      <c r="AQ22" s="9">
        <f t="shared" si="137"/>
        <v>0.25429116338207258</v>
      </c>
      <c r="AR22" s="9">
        <f t="shared" si="137"/>
        <v>0.29396857577293467</v>
      </c>
      <c r="AS22" s="9">
        <f t="shared" si="137"/>
        <v>0.29401941987754343</v>
      </c>
      <c r="AT22" s="9">
        <f t="shared" si="137"/>
        <v>0.17268078191463943</v>
      </c>
      <c r="AU22" s="9">
        <f t="shared" si="137"/>
        <v>0.19927861102054134</v>
      </c>
      <c r="AV22" s="9">
        <f t="shared" si="137"/>
        <v>0.24769899123775874</v>
      </c>
      <c r="AW22" s="9">
        <f t="shared" si="137"/>
        <v>0.14999999999999991</v>
      </c>
      <c r="AX22" s="9">
        <f t="shared" si="137"/>
        <v>8.0000000000000071E-2</v>
      </c>
      <c r="AY22" s="9">
        <f t="shared" si="137"/>
        <v>6.0000000000000053E-2</v>
      </c>
      <c r="AZ22" s="9">
        <f t="shared" si="137"/>
        <v>5.0000000000000044E-2</v>
      </c>
      <c r="BA22" s="9">
        <f t="shared" si="137"/>
        <v>4.0000000000000036E-2</v>
      </c>
      <c r="BB22" s="9">
        <f t="shared" si="137"/>
        <v>3.0000000000000027E-2</v>
      </c>
      <c r="BC22" s="9">
        <f t="shared" si="137"/>
        <v>3.0000000000000027E-2</v>
      </c>
      <c r="BD22" s="9">
        <f t="shared" si="137"/>
        <v>2.0000000000000018E-2</v>
      </c>
      <c r="BE22" s="9">
        <f t="shared" si="135"/>
        <v>2.0000000000000018E-2</v>
      </c>
      <c r="BF22" s="9">
        <f t="shared" si="136"/>
        <v>2.0000000000000018E-2</v>
      </c>
      <c r="BH22" t="s">
        <v>87</v>
      </c>
      <c r="BI22" s="9">
        <v>0.05</v>
      </c>
    </row>
    <row r="23" spans="2:179" x14ac:dyDescent="0.3">
      <c r="B23" s="6" t="s">
        <v>79</v>
      </c>
      <c r="C23" s="6"/>
      <c r="D23" s="6"/>
      <c r="E23" s="6"/>
      <c r="F23" s="6"/>
      <c r="G23" s="9">
        <f t="shared" ref="G23:J23" si="138">G5/C5-1</f>
        <v>0.13297626743004898</v>
      </c>
      <c r="H23" s="9">
        <f t="shared" si="138"/>
        <v>0.11972430883605667</v>
      </c>
      <c r="I23" s="9">
        <f t="shared" si="138"/>
        <v>0.15539376184732046</v>
      </c>
      <c r="J23" s="9">
        <f t="shared" si="138"/>
        <v>0.17496582698691654</v>
      </c>
      <c r="K23" s="9">
        <f>K5/G5-1</f>
        <v>0.18526367267095933</v>
      </c>
      <c r="L23" s="9">
        <f t="shared" ref="L23:V23" si="139">L5/H5-1</f>
        <v>0.12286465177398154</v>
      </c>
      <c r="M23" s="9">
        <f t="shared" si="139"/>
        <v>0.13990081658525666</v>
      </c>
      <c r="N23" s="9">
        <f t="shared" si="139"/>
        <v>0.12072461359481479</v>
      </c>
      <c r="O23" s="9">
        <f t="shared" si="139"/>
        <v>0.13653555219364599</v>
      </c>
      <c r="P23" s="9">
        <f t="shared" si="139"/>
        <v>0.13658341289150311</v>
      </c>
      <c r="Q23" s="9">
        <f t="shared" si="139"/>
        <v>0.14556278826338698</v>
      </c>
      <c r="R23" s="9">
        <f t="shared" si="139"/>
        <v>0.12800664353293589</v>
      </c>
      <c r="S23" s="9">
        <f t="shared" si="139"/>
        <v>0.12400544546967174</v>
      </c>
      <c r="T23" s="9">
        <f t="shared" si="139"/>
        <v>0.16718148810491518</v>
      </c>
      <c r="U23" s="9">
        <f t="shared" si="139"/>
        <v>0.19088546871876866</v>
      </c>
      <c r="V23" s="9">
        <f t="shared" si="139"/>
        <v>0.21347251071437956</v>
      </c>
      <c r="W23" s="9">
        <f t="shared" si="129"/>
        <v>0.21970716477364483</v>
      </c>
      <c r="X23" s="9">
        <f t="shared" si="129"/>
        <v>0.2008543040208004</v>
      </c>
      <c r="Y23" s="9">
        <f t="shared" si="130"/>
        <v>0.18352275451973332</v>
      </c>
      <c r="Z23" s="9">
        <f t="shared" si="131"/>
        <v>0.12378661813139202</v>
      </c>
      <c r="AA23" s="9">
        <f t="shared" si="132"/>
        <v>0.1060308493501334</v>
      </c>
      <c r="AB23" s="9">
        <f t="shared" si="133"/>
        <v>1.9699195793380753E-2</v>
      </c>
      <c r="AC23" s="9">
        <f t="shared" si="133"/>
        <v>7.0846839546191198E-2</v>
      </c>
      <c r="AD23" s="9">
        <f t="shared" si="133"/>
        <v>8.3370288248336921E-2</v>
      </c>
      <c r="AE23" s="9">
        <f t="shared" si="133"/>
        <v>0.12758868361198683</v>
      </c>
      <c r="AF23" s="9">
        <f t="shared" si="133"/>
        <v>7.1473259142700085E-2</v>
      </c>
      <c r="AG23" s="9">
        <f t="shared" si="133"/>
        <v>0.17335452257979078</v>
      </c>
      <c r="AH23" s="9">
        <f t="shared" si="133"/>
        <v>0.15195144957198026</v>
      </c>
      <c r="AI23" s="9">
        <f t="shared" si="133"/>
        <v>0.16044729904276589</v>
      </c>
      <c r="AJ23" s="9">
        <f t="shared" si="133"/>
        <v>0.23205407222605579</v>
      </c>
      <c r="AK23" s="9">
        <f t="shared" si="133"/>
        <v>0.12973234440503068</v>
      </c>
      <c r="AL23" s="9">
        <f t="shared" si="133"/>
        <v>0.1571188221298685</v>
      </c>
      <c r="AO23" s="9">
        <f>AO5/AN5-1</f>
        <v>0.14599017663367975</v>
      </c>
      <c r="AP23" s="9">
        <f t="shared" ref="AP23:BD23" si="140">AP5/AO5-1</f>
        <v>0.14029539688292858</v>
      </c>
      <c r="AQ23" s="9">
        <f t="shared" si="140"/>
        <v>0.13645574247276371</v>
      </c>
      <c r="AR23" s="9">
        <f t="shared" si="140"/>
        <v>0.17531727441177503</v>
      </c>
      <c r="AS23" s="9">
        <f t="shared" si="140"/>
        <v>0.17956070629670173</v>
      </c>
      <c r="AT23" s="9">
        <f t="shared" si="140"/>
        <v>6.8820295556564215E-2</v>
      </c>
      <c r="AU23" s="9">
        <f t="shared" si="140"/>
        <v>0.13149611872684797</v>
      </c>
      <c r="AV23" s="9">
        <f t="shared" si="140"/>
        <v>0.1684821983393181</v>
      </c>
      <c r="AW23" s="9">
        <f t="shared" si="140"/>
        <v>0.12007180638235093</v>
      </c>
      <c r="AX23" s="9">
        <f t="shared" si="140"/>
        <v>6.6506456380035273E-2</v>
      </c>
      <c r="AY23" s="9">
        <f t="shared" si="140"/>
        <v>5.0872415409183969E-2</v>
      </c>
      <c r="AZ23" s="9">
        <f t="shared" si="140"/>
        <v>4.2981937444320995E-2</v>
      </c>
      <c r="BA23" s="9">
        <f t="shared" si="140"/>
        <v>3.4902900812497695E-2</v>
      </c>
      <c r="BB23" s="9">
        <f t="shared" si="140"/>
        <v>2.6683701646253999E-2</v>
      </c>
      <c r="BC23" s="9">
        <f t="shared" si="140"/>
        <v>2.6737591790039206E-2</v>
      </c>
      <c r="BD23" s="9">
        <f t="shared" si="140"/>
        <v>1.8395387332455826E-2</v>
      </c>
      <c r="BE23" s="9">
        <f t="shared" si="135"/>
        <v>1.8408615342941914E-2</v>
      </c>
      <c r="BF23" s="9">
        <f t="shared" si="136"/>
        <v>1.8421754805081347E-2</v>
      </c>
      <c r="BH23" t="s">
        <v>88</v>
      </c>
      <c r="BI23" s="23">
        <f>NPV(BI22,AV17:FW17)</f>
        <v>2770218.7559484853</v>
      </c>
    </row>
    <row r="24" spans="2:179" x14ac:dyDescent="0.3">
      <c r="B24" t="s">
        <v>95</v>
      </c>
      <c r="C24" s="9">
        <f>(C3-C6)/C3</f>
        <v>0.75636140971560761</v>
      </c>
      <c r="D24" s="9">
        <f t="shared" ref="D24:V24" si="141">(D3-D6)/D3</f>
        <v>0.70568598478629674</v>
      </c>
      <c r="E24" s="9">
        <f t="shared" si="141"/>
        <v>0.78812099497002686</v>
      </c>
      <c r="F24" s="9">
        <f t="shared" si="141"/>
        <v>0.8043843806439559</v>
      </c>
      <c r="G24" s="9">
        <f t="shared" si="141"/>
        <v>0.79157924185200723</v>
      </c>
      <c r="H24" s="9">
        <f t="shared" si="141"/>
        <v>0.69329465580720739</v>
      </c>
      <c r="I24" s="9">
        <f t="shared" si="141"/>
        <v>0.77338891094349604</v>
      </c>
      <c r="J24" s="9">
        <f t="shared" si="141"/>
        <v>0.79503467568040098</v>
      </c>
      <c r="K24" s="9">
        <f t="shared" si="141"/>
        <v>0.78906295161570028</v>
      </c>
      <c r="L24" s="9">
        <f t="shared" si="141"/>
        <v>0.63715395523768414</v>
      </c>
      <c r="M24" s="9">
        <f t="shared" si="141"/>
        <v>0.77725271879854996</v>
      </c>
      <c r="N24" s="9">
        <f t="shared" si="141"/>
        <v>0.80716833304098701</v>
      </c>
      <c r="O24" s="9">
        <f t="shared" si="141"/>
        <v>0.79039827498731607</v>
      </c>
      <c r="P24" s="9">
        <f t="shared" si="141"/>
        <v>0.72796494111202414</v>
      </c>
      <c r="Q24" s="9">
        <f t="shared" si="141"/>
        <v>0.78728498519311951</v>
      </c>
      <c r="R24" s="9">
        <f t="shared" si="141"/>
        <v>0.75918884664131814</v>
      </c>
      <c r="S24" s="9">
        <f t="shared" si="141"/>
        <v>0.77238499019173579</v>
      </c>
      <c r="T24" s="9">
        <f t="shared" si="141"/>
        <v>0.68869475847893113</v>
      </c>
      <c r="U24" s="9">
        <f t="shared" si="141"/>
        <v>0.74651810584958223</v>
      </c>
      <c r="V24" s="9">
        <f t="shared" si="141"/>
        <v>0.7736297391488014</v>
      </c>
      <c r="W24" s="9">
        <f t="shared" ref="W24:X24" si="142">(W3-W6)/W3</f>
        <v>0.77199206301485179</v>
      </c>
      <c r="X24" s="9">
        <f t="shared" si="142"/>
        <v>0.69531738774724483</v>
      </c>
      <c r="Y24" s="9">
        <f t="shared" ref="Y24:Y25" si="143">(Y3-Y6)/Y3</f>
        <v>0.73603593228146957</v>
      </c>
      <c r="Z24" s="9">
        <f t="shared" ref="Z24" si="144">(Z3-Z6)/Z3</f>
        <v>0.75735130318556476</v>
      </c>
      <c r="AA24" s="9">
        <f t="shared" ref="AA24:AA25" si="145">(AA3-AA6)/AA3</f>
        <v>0.72670097198399086</v>
      </c>
      <c r="AB24" s="9">
        <f t="shared" ref="AB24:AC24" si="146">(AB3-AB6)/AB3</f>
        <v>0.65550644790216139</v>
      </c>
      <c r="AC24" s="9">
        <f t="shared" si="146"/>
        <v>0.74717731588401337</v>
      </c>
      <c r="AD24" s="9">
        <f t="shared" ref="AD24:AE24" si="147">(AD3-AD6)/AD3</f>
        <v>0.77030795704028954</v>
      </c>
      <c r="AE24" s="9">
        <f t="shared" si="147"/>
        <v>0.77270679111683294</v>
      </c>
      <c r="AF24" s="9">
        <f t="shared" ref="AF24:AG24" si="148">(AF3-AF6)/AF3</f>
        <v>0.77270679111683294</v>
      </c>
      <c r="AG24" s="9">
        <f t="shared" si="148"/>
        <v>0.68512750118789922</v>
      </c>
      <c r="AH24" s="9">
        <f t="shared" ref="AH24:AI24" si="149">(AH3-AH6)/AH3</f>
        <v>0.89120072633729286</v>
      </c>
      <c r="AI24" s="9">
        <f t="shared" si="149"/>
        <v>0.78431115767417492</v>
      </c>
      <c r="AJ24" s="9">
        <f t="shared" ref="AJ24:AL24" si="150">(AJ3-AJ6)/AJ3</f>
        <v>0.76225414637153954</v>
      </c>
      <c r="AK24" s="9">
        <f t="shared" si="150"/>
        <v>0.80174946145309745</v>
      </c>
      <c r="AL24" s="9">
        <f t="shared" si="150"/>
        <v>0.78</v>
      </c>
      <c r="AN24" s="9">
        <f t="shared" ref="AN24:AR24" si="151">(AN3-AN6)/AN3</f>
        <v>0.76117782219354435</v>
      </c>
      <c r="AO24" s="9">
        <f t="shared" si="151"/>
        <v>0.76091911251686128</v>
      </c>
      <c r="AP24" s="9">
        <f t="shared" si="151"/>
        <v>0.75369689264254036</v>
      </c>
      <c r="AQ24" s="9">
        <f t="shared" si="151"/>
        <v>0.76459781602269217</v>
      </c>
      <c r="AR24" s="9">
        <f t="shared" si="151"/>
        <v>0.74366153586402906</v>
      </c>
      <c r="AS24" s="9">
        <f t="shared" ref="AS24:AT24" si="152">(AS3-AS6)/AS3</f>
        <v>0.73788703734257277</v>
      </c>
      <c r="AT24" s="9">
        <f t="shared" si="152"/>
        <v>0.72481800336944935</v>
      </c>
      <c r="AU24" s="9">
        <f t="shared" ref="AU24:BD24" si="153">(AU3-AU6)/AU3</f>
        <v>0.7712405896121971</v>
      </c>
      <c r="AV24" s="9">
        <f t="shared" si="153"/>
        <v>0.7818565876220035</v>
      </c>
      <c r="AW24" s="9">
        <f t="shared" si="153"/>
        <v>0.77</v>
      </c>
      <c r="AX24" s="9">
        <f t="shared" si="153"/>
        <v>0.77</v>
      </c>
      <c r="AY24" s="9">
        <f t="shared" si="153"/>
        <v>0.77</v>
      </c>
      <c r="AZ24" s="9">
        <f t="shared" si="153"/>
        <v>0.77</v>
      </c>
      <c r="BA24" s="9">
        <f t="shared" si="153"/>
        <v>0.77</v>
      </c>
      <c r="BB24" s="9">
        <f t="shared" si="153"/>
        <v>0.77</v>
      </c>
      <c r="BC24" s="9">
        <f t="shared" si="153"/>
        <v>0.76999999999999991</v>
      </c>
      <c r="BD24" s="9">
        <f t="shared" si="153"/>
        <v>0.77</v>
      </c>
      <c r="BE24" s="9">
        <f t="shared" ref="BE24:BF24" si="154">(BE3-BE6)/BE3</f>
        <v>0.77</v>
      </c>
      <c r="BF24" s="9">
        <f t="shared" si="154"/>
        <v>0.77</v>
      </c>
      <c r="BH24" t="s">
        <v>91</v>
      </c>
      <c r="BI24" s="23">
        <f>Main!D8</f>
        <v>42166</v>
      </c>
    </row>
    <row r="25" spans="2:179" x14ac:dyDescent="0.3">
      <c r="B25" t="s">
        <v>96</v>
      </c>
      <c r="C25" s="9">
        <f t="shared" ref="C25:V25" si="155">(C4-C7)/C4</f>
        <v>0.38750000000000001</v>
      </c>
      <c r="D25" s="9">
        <f t="shared" si="155"/>
        <v>0.40116509996028066</v>
      </c>
      <c r="E25" s="9">
        <f t="shared" si="155"/>
        <v>0.42694562593401542</v>
      </c>
      <c r="F25" s="9">
        <f t="shared" si="155"/>
        <v>0.44333891914537077</v>
      </c>
      <c r="G25" s="9">
        <f t="shared" si="155"/>
        <v>0.48261718749999999</v>
      </c>
      <c r="H25" s="9">
        <f t="shared" si="155"/>
        <v>0.49363173216885009</v>
      </c>
      <c r="I25" s="9">
        <f t="shared" si="155"/>
        <v>0.50072618539085856</v>
      </c>
      <c r="J25" s="9">
        <f t="shared" si="155"/>
        <v>0.51841250193408639</v>
      </c>
      <c r="K25" s="9">
        <f t="shared" si="155"/>
        <v>0.46915570640644888</v>
      </c>
      <c r="L25" s="9">
        <f t="shared" si="155"/>
        <v>0.59771105094757571</v>
      </c>
      <c r="M25" s="9">
        <f t="shared" si="155"/>
        <v>0.55504860146796275</v>
      </c>
      <c r="N25" s="9">
        <f t="shared" si="155"/>
        <v>0.57180690983507887</v>
      </c>
      <c r="O25" s="9">
        <f t="shared" si="155"/>
        <v>0.58922890032972752</v>
      </c>
      <c r="P25" s="9">
        <f t="shared" si="155"/>
        <v>0.60366736368023166</v>
      </c>
      <c r="Q25" s="9">
        <f t="shared" si="155"/>
        <v>0.60318537859007837</v>
      </c>
      <c r="R25" s="9">
        <f t="shared" si="155"/>
        <v>0.59926581514633415</v>
      </c>
      <c r="S25" s="9">
        <f t="shared" si="155"/>
        <v>0.65317783710364852</v>
      </c>
      <c r="T25" s="9">
        <f t="shared" si="155"/>
        <v>0.65548780487804881</v>
      </c>
      <c r="U25" s="9">
        <f t="shared" si="155"/>
        <v>0.64692143518704948</v>
      </c>
      <c r="V25" s="9">
        <f t="shared" si="155"/>
        <v>0.64341882854413168</v>
      </c>
      <c r="W25" s="9">
        <f t="shared" ref="W25:X25" si="156">(W4-W7)/W4</f>
        <v>0.65648748518441047</v>
      </c>
      <c r="X25" s="9">
        <f t="shared" si="156"/>
        <v>0.618792206533329</v>
      </c>
      <c r="Y25" s="9">
        <f t="shared" si="143"/>
        <v>0.65521660311308372</v>
      </c>
      <c r="Z25" s="9">
        <f t="shared" ref="Z25" si="157">(Z4-Z7)/Z4</f>
        <v>0.64398832168450859</v>
      </c>
      <c r="AA25" s="9">
        <f t="shared" si="145"/>
        <v>0.67569296995433525</v>
      </c>
      <c r="AB25" s="9">
        <f t="shared" ref="AB25:AC25" si="158">(AB4-AB7)/AB4</f>
        <v>0.67435826662986476</v>
      </c>
      <c r="AC25" s="9">
        <f t="shared" si="158"/>
        <v>0.67299900721779493</v>
      </c>
      <c r="AD25" s="9">
        <f t="shared" ref="AD25:AE25" si="159">(AD4-AD7)/AD4</f>
        <v>0.67144600366076879</v>
      </c>
      <c r="AE25" s="9">
        <f t="shared" si="159"/>
        <v>0.68837538431506518</v>
      </c>
      <c r="AF25" s="9">
        <f t="shared" ref="AF25:AG25" si="160">(AF4-AF7)/AF4</f>
        <v>0.68837538431506518</v>
      </c>
      <c r="AG25" s="9">
        <f t="shared" si="160"/>
        <v>0.68293135866663568</v>
      </c>
      <c r="AH25" s="9">
        <f t="shared" ref="AH25:AI25" si="161">(AH4-AH7)/AH4</f>
        <v>0.64577751892836344</v>
      </c>
      <c r="AI25" s="9">
        <f t="shared" si="161"/>
        <v>0.66599089698487468</v>
      </c>
      <c r="AJ25" s="9">
        <f t="shared" ref="AJ25:AL25" si="162">(AJ4-AJ7)/AJ4</f>
        <v>0.66407054462396797</v>
      </c>
      <c r="AK25" s="9">
        <f t="shared" si="162"/>
        <v>0.65510438928160453</v>
      </c>
      <c r="AL25" s="9">
        <f t="shared" si="162"/>
        <v>0.65</v>
      </c>
      <c r="AN25" s="9">
        <f t="shared" ref="AN25:AR25" si="163">(AN4-AN7)/AN4</f>
        <v>0.41739926739926742</v>
      </c>
      <c r="AO25" s="9">
        <f t="shared" si="163"/>
        <v>0.4999672938970412</v>
      </c>
      <c r="AP25" s="9">
        <f t="shared" si="163"/>
        <v>0.55437146585471941</v>
      </c>
      <c r="AQ25" s="9">
        <f t="shared" si="163"/>
        <v>0.59904766985888447</v>
      </c>
      <c r="AR25" s="9">
        <f t="shared" si="163"/>
        <v>0.64940111736450412</v>
      </c>
      <c r="AS25" s="9">
        <f t="shared" ref="AS25:AT25" si="164">(AS4-AS7)/AS4</f>
        <v>0.64349440010196113</v>
      </c>
      <c r="AT25" s="9">
        <f t="shared" si="164"/>
        <v>0.67354771220519505</v>
      </c>
      <c r="AU25" s="9">
        <f t="shared" ref="AU25:BD25" si="165">(AU4-AU7)/AU4</f>
        <v>0.67461895294897278</v>
      </c>
      <c r="AV25" s="9">
        <f t="shared" si="165"/>
        <v>0.65833261456749204</v>
      </c>
      <c r="AW25" s="9">
        <f t="shared" si="165"/>
        <v>0.66999999999999993</v>
      </c>
      <c r="AX25" s="9">
        <f t="shared" si="165"/>
        <v>0.66999999999999993</v>
      </c>
      <c r="AY25" s="9">
        <f t="shared" si="165"/>
        <v>0.66999999999999993</v>
      </c>
      <c r="AZ25" s="9">
        <f t="shared" si="165"/>
        <v>0.66999999999999993</v>
      </c>
      <c r="BA25" s="9">
        <f t="shared" si="165"/>
        <v>0.67</v>
      </c>
      <c r="BB25" s="9">
        <f t="shared" si="165"/>
        <v>0.66999999999999993</v>
      </c>
      <c r="BC25" s="9">
        <f t="shared" si="165"/>
        <v>0.67</v>
      </c>
      <c r="BD25" s="9">
        <f t="shared" si="165"/>
        <v>0.66999999999999993</v>
      </c>
      <c r="BE25" s="9">
        <f t="shared" ref="BE25:BF25" si="166">(BE4-BE7)/BE4</f>
        <v>0.67</v>
      </c>
      <c r="BF25" s="9">
        <f t="shared" si="166"/>
        <v>0.67</v>
      </c>
      <c r="BH25" t="s">
        <v>89</v>
      </c>
      <c r="BI25" s="23">
        <f>BI23+BI24</f>
        <v>2812384.7559484853</v>
      </c>
    </row>
    <row r="26" spans="2:179" s="6" customFormat="1" x14ac:dyDescent="0.3">
      <c r="B26" s="6" t="s">
        <v>42</v>
      </c>
      <c r="C26" s="9">
        <f t="shared" ref="C26:F26" si="167">C9/C5</f>
        <v>0.63782436051343616</v>
      </c>
      <c r="D26" s="9">
        <f t="shared" si="167"/>
        <v>0.61662665530860372</v>
      </c>
      <c r="E26" s="9">
        <f t="shared" si="167"/>
        <v>0.65276581078752371</v>
      </c>
      <c r="F26" s="9">
        <f t="shared" si="167"/>
        <v>0.66975200156219483</v>
      </c>
      <c r="G26" s="9">
        <f t="shared" ref="G26" si="168">G9/G5</f>
        <v>0.66264569239546822</v>
      </c>
      <c r="H26" s="9">
        <f t="shared" ref="H26:V26" si="169">H9/H5</f>
        <v>0.6174009267584204</v>
      </c>
      <c r="I26" s="9">
        <f t="shared" si="169"/>
        <v>0.65438681531749876</v>
      </c>
      <c r="J26" s="9">
        <f t="shared" si="169"/>
        <v>0.67618414492271894</v>
      </c>
      <c r="K26" s="9">
        <f t="shared" si="169"/>
        <v>0.65943474075092834</v>
      </c>
      <c r="L26" s="9">
        <f t="shared" si="169"/>
        <v>0.61741246034923469</v>
      </c>
      <c r="M26" s="9">
        <f t="shared" si="169"/>
        <v>0.66733178502502366</v>
      </c>
      <c r="N26" s="9">
        <f t="shared" si="169"/>
        <v>0.69119435299700449</v>
      </c>
      <c r="O26" s="9">
        <f t="shared" si="169"/>
        <v>0.6851913477537438</v>
      </c>
      <c r="P26" s="9">
        <f t="shared" si="169"/>
        <v>0.66514929821709212</v>
      </c>
      <c r="Q26" s="9">
        <f t="shared" si="169"/>
        <v>0.68661660146769077</v>
      </c>
      <c r="R26" s="9">
        <f t="shared" si="169"/>
        <v>0.67557121447164303</v>
      </c>
      <c r="S26" s="9">
        <f t="shared" si="169"/>
        <v>0.70388114334930285</v>
      </c>
      <c r="T26" s="9">
        <f t="shared" si="169"/>
        <v>0.67048936762930633</v>
      </c>
      <c r="U26" s="9">
        <f t="shared" si="169"/>
        <v>0.68721526878626582</v>
      </c>
      <c r="V26" s="9">
        <f t="shared" si="169"/>
        <v>0.69684954064829263</v>
      </c>
      <c r="W26" s="9">
        <f t="shared" ref="W26:X26" si="170">W9/W5</f>
        <v>0.6988768012004325</v>
      </c>
      <c r="X26" s="9">
        <f t="shared" si="170"/>
        <v>0.64953216826476956</v>
      </c>
      <c r="Y26" s="9">
        <f t="shared" ref="Y26" si="171">Y9/Y5</f>
        <v>0.68365072933549431</v>
      </c>
      <c r="Z26" s="9">
        <f t="shared" ref="Z26" si="172">Z9/Z5</f>
        <v>0.68323532247180174</v>
      </c>
      <c r="AA26" s="9">
        <f t="shared" ref="AA26" si="173">AA9/AA5</f>
        <v>0.69171222217788597</v>
      </c>
      <c r="AB26" s="9">
        <f t="shared" ref="AB26:AC26" si="174">AB9/AB5</f>
        <v>0.66845507801391546</v>
      </c>
      <c r="AC26" s="9">
        <f t="shared" si="174"/>
        <v>0.69487485101311086</v>
      </c>
      <c r="AD26" s="9">
        <f t="shared" ref="AD26:AE26" si="175">AD9/AD5</f>
        <v>0.70109807969531401</v>
      </c>
      <c r="AE26" s="9">
        <f t="shared" si="175"/>
        <v>0.71155581506449384</v>
      </c>
      <c r="AF26" s="9">
        <f t="shared" ref="AF26:AG26" si="176">AF9/AF5</f>
        <v>0.71155581506449384</v>
      </c>
      <c r="AG26" s="9">
        <f t="shared" si="176"/>
        <v>0.68360206385037081</v>
      </c>
      <c r="AH26" s="9">
        <f t="shared" ref="AH26:AI26" si="177">AH9/AH5</f>
        <v>0.69589197707293715</v>
      </c>
      <c r="AI26" s="9">
        <f t="shared" si="177"/>
        <v>0.69354273080734929</v>
      </c>
      <c r="AJ26" s="9">
        <f t="shared" ref="AJ26:AL26" si="178">AJ9/AJ5</f>
        <v>0.68693991268382348</v>
      </c>
      <c r="AK26" s="9">
        <f t="shared" si="178"/>
        <v>0.6871663859789342</v>
      </c>
      <c r="AL26" s="9">
        <f t="shared" si="178"/>
        <v>0.67271161409635105</v>
      </c>
      <c r="AN26" s="9">
        <f t="shared" ref="AN26:AP26" si="179">AN9/AN5</f>
        <v>0.64423007030041224</v>
      </c>
      <c r="AO26" s="9">
        <f t="shared" si="179"/>
        <v>0.65247372236317502</v>
      </c>
      <c r="AP26" s="9">
        <f t="shared" si="179"/>
        <v>0.65901957200638894</v>
      </c>
      <c r="AQ26" s="9">
        <f t="shared" ref="AQ26:BA26" si="180">AQ9/AQ5</f>
        <v>0.67781001992797962</v>
      </c>
      <c r="AR26" s="9">
        <f t="shared" si="180"/>
        <v>0.68925800771024703</v>
      </c>
      <c r="AS26" s="9">
        <f t="shared" ref="AS26" si="181">AS9/AS5</f>
        <v>0.67812074443940085</v>
      </c>
      <c r="AT26" s="9">
        <f t="shared" si="180"/>
        <v>0.68920085883491022</v>
      </c>
      <c r="AU26" s="9">
        <f t="shared" ref="AU26" si="182">AU9/AU5</f>
        <v>0.70009717200278587</v>
      </c>
      <c r="AV26" s="9">
        <f t="shared" si="180"/>
        <v>0.68473868158175422</v>
      </c>
      <c r="AW26" s="9">
        <f t="shared" si="180"/>
        <v>0.68927649088566367</v>
      </c>
      <c r="AX26" s="9">
        <f t="shared" si="180"/>
        <v>0.68825516918163199</v>
      </c>
      <c r="AY26" s="9">
        <f t="shared" si="180"/>
        <v>0.68754515638919789</v>
      </c>
      <c r="AZ26" s="9">
        <f t="shared" si="180"/>
        <v>0.68699033062500747</v>
      </c>
      <c r="BA26" s="9">
        <f t="shared" si="180"/>
        <v>0.68658149176873029</v>
      </c>
      <c r="BB26" s="9">
        <f t="shared" ref="BB26:BD26" si="183">BB9/BB5</f>
        <v>0.68631204104980326</v>
      </c>
      <c r="BC26" s="9">
        <f t="shared" si="183"/>
        <v>0.68604612667544196</v>
      </c>
      <c r="BD26" s="9">
        <f t="shared" si="183"/>
        <v>0.6859138465705813</v>
      </c>
      <c r="BE26" s="9">
        <f t="shared" ref="BE26:BF26" si="184">BE9/BE5</f>
        <v>0.68578245194918608</v>
      </c>
      <c r="BF26" s="9">
        <f t="shared" si="184"/>
        <v>0.68565194026293041</v>
      </c>
      <c r="BH26" t="s">
        <v>90</v>
      </c>
      <c r="BI26" s="19">
        <f>BI25/BA18</f>
        <v>378.39014543538315</v>
      </c>
    </row>
    <row r="27" spans="2:179" x14ac:dyDescent="0.3">
      <c r="B27" t="s">
        <v>76</v>
      </c>
      <c r="C27" s="9">
        <f t="shared" ref="C27:F27" si="185">C13/C5</f>
        <v>0.29758057068981436</v>
      </c>
      <c r="D27" s="9">
        <f t="shared" si="185"/>
        <v>0.30608688918144505</v>
      </c>
      <c r="E27" s="9">
        <f t="shared" si="185"/>
        <v>0.28963467172152335</v>
      </c>
      <c r="F27" s="9">
        <f t="shared" si="185"/>
        <v>0.31197031829720756</v>
      </c>
      <c r="G27" s="9">
        <f>G13/G5</f>
        <v>0.3141250305648382</v>
      </c>
      <c r="H27" s="9">
        <f t="shared" ref="H27:V27" si="186">H13/H5</f>
        <v>0.30012448993706342</v>
      </c>
      <c r="I27" s="9">
        <f t="shared" si="186"/>
        <v>0.30918378761325926</v>
      </c>
      <c r="J27" s="9">
        <f t="shared" si="186"/>
        <v>0.3449891972743892</v>
      </c>
      <c r="K27" s="9">
        <f t="shared" si="186"/>
        <v>0.34228441754916794</v>
      </c>
      <c r="L27" s="9">
        <f t="shared" si="186"/>
        <v>0.3159126605278556</v>
      </c>
      <c r="M27" s="9">
        <f t="shared" si="186"/>
        <v>0.3382617513329626</v>
      </c>
      <c r="N27" s="9">
        <f t="shared" si="186"/>
        <v>0.3679152949550672</v>
      </c>
      <c r="O27" s="9">
        <f t="shared" si="186"/>
        <v>0.38378460142187265</v>
      </c>
      <c r="P27" s="9">
        <f t="shared" si="186"/>
        <v>0.37638866309001245</v>
      </c>
      <c r="Q27" s="9">
        <f t="shared" si="186"/>
        <v>0.37049199051997372</v>
      </c>
      <c r="R27" s="9">
        <f t="shared" si="186"/>
        <v>0.35250966266137301</v>
      </c>
      <c r="S27" s="9">
        <f t="shared" si="186"/>
        <v>0.42730257845723207</v>
      </c>
      <c r="T27" s="9">
        <f t="shared" si="186"/>
        <v>0.41547497446373849</v>
      </c>
      <c r="U27" s="9">
        <f t="shared" si="186"/>
        <v>0.40876612477820939</v>
      </c>
      <c r="V27" s="9">
        <f t="shared" si="186"/>
        <v>0.41374154966198645</v>
      </c>
      <c r="W27" s="9">
        <f t="shared" ref="W27:X27" si="187">W13/W5</f>
        <v>0.44658737339188381</v>
      </c>
      <c r="X27" s="9">
        <f t="shared" si="187"/>
        <v>0.40747757500773274</v>
      </c>
      <c r="Y27" s="9">
        <f t="shared" ref="Y27" si="188">Y13/Y5</f>
        <v>0.41256077795786061</v>
      </c>
      <c r="Z27" s="9">
        <f t="shared" ref="Z27" si="189">Z13/Z5</f>
        <v>0.3959124650535043</v>
      </c>
      <c r="AA27" s="9">
        <f t="shared" ref="AA27" si="190">AA13/AA5</f>
        <v>0.42931247755476637</v>
      </c>
      <c r="AB27" s="9">
        <f t="shared" ref="AB27:AC27" si="191">AB13/AB5</f>
        <v>0.3867328947617874</v>
      </c>
      <c r="AC27" s="9">
        <f t="shared" si="191"/>
        <v>0.42287681858599618</v>
      </c>
      <c r="AD27" s="9">
        <f t="shared" ref="AD27:AE27" si="192">AD13/AD5</f>
        <v>0.4316503230169606</v>
      </c>
      <c r="AE27" s="9">
        <f t="shared" si="192"/>
        <v>0.47587451563246458</v>
      </c>
      <c r="AF27" s="9">
        <f t="shared" ref="AF27:AG27" si="193">AF13/AF5</f>
        <v>0.47587451563246458</v>
      </c>
      <c r="AG27" s="9">
        <f t="shared" si="193"/>
        <v>0.43585940019348596</v>
      </c>
      <c r="AH27" s="9">
        <f t="shared" ref="AH27:AI27" si="194">AH13/AH5</f>
        <v>0.43142737960974553</v>
      </c>
      <c r="AI27" s="9">
        <f t="shared" si="194"/>
        <v>0.46583822520393381</v>
      </c>
      <c r="AJ27" s="9">
        <f t="shared" ref="AJ27:AL27" si="195">AJ13/AJ5</f>
        <v>0.45457548253676472</v>
      </c>
      <c r="AK27" s="9">
        <f t="shared" si="195"/>
        <v>0.45671224274255701</v>
      </c>
      <c r="AL27" s="9">
        <f t="shared" si="195"/>
        <v>0.42583383569104333</v>
      </c>
      <c r="AN27" s="9">
        <f t="shared" ref="AN27:AP27" si="196">AN13/AN5</f>
        <v>0.30177256726306062</v>
      </c>
      <c r="AO27" s="9">
        <f t="shared" si="196"/>
        <v>0.31766944545125048</v>
      </c>
      <c r="AP27" s="9">
        <f t="shared" si="196"/>
        <v>0.3413698020549415</v>
      </c>
      <c r="AQ27" s="9">
        <f t="shared" ref="AQ27:BA27" si="197">AQ13/AQ5</f>
        <v>0.37030381428521486</v>
      </c>
      <c r="AR27" s="9">
        <f t="shared" si="197"/>
        <v>0.41594878872971303</v>
      </c>
      <c r="AS27" s="9">
        <f t="shared" ref="AS27" si="198">AS13/AS5</f>
        <v>0.4146567811570081</v>
      </c>
      <c r="AT27" s="9">
        <f t="shared" si="197"/>
        <v>0.41772880636104098</v>
      </c>
      <c r="AU27" s="9">
        <f t="shared" ref="AU27" si="199">AU13/AU5</f>
        <v>0.45352634278779386</v>
      </c>
      <c r="AV27" s="9">
        <f t="shared" si="197"/>
        <v>0.45006310554189444</v>
      </c>
      <c r="AW27" s="9">
        <f t="shared" si="197"/>
        <v>0.47072564693452867</v>
      </c>
      <c r="AX27" s="9">
        <f t="shared" si="197"/>
        <v>0.47671221032640931</v>
      </c>
      <c r="AY27" s="9">
        <f t="shared" si="197"/>
        <v>0.48198049544970167</v>
      </c>
      <c r="AZ27" s="9">
        <f t="shared" si="197"/>
        <v>0.48694468424708715</v>
      </c>
      <c r="BA27" s="9">
        <f t="shared" si="197"/>
        <v>0.49038218247610571</v>
      </c>
      <c r="BB27" s="9">
        <f t="shared" ref="BB27:BD27" si="200">BB13/BB5</f>
        <v>0.49256850427957521</v>
      </c>
      <c r="BC27" s="9">
        <f t="shared" si="200"/>
        <v>0.49473326628971293</v>
      </c>
      <c r="BD27" s="9">
        <f t="shared" si="200"/>
        <v>0.49544929613745886</v>
      </c>
      <c r="BE27" s="9">
        <f t="shared" ref="BE27:BF27" si="201">BE13/BE5</f>
        <v>0.49616053287900308</v>
      </c>
      <c r="BF27" s="9">
        <f t="shared" si="201"/>
        <v>0.49686699030838805</v>
      </c>
      <c r="BH27" t="s">
        <v>92</v>
      </c>
      <c r="BI27" s="19">
        <f>Main!D3</f>
        <v>435.28</v>
      </c>
    </row>
    <row r="28" spans="2:179" x14ac:dyDescent="0.3">
      <c r="B28" t="s">
        <v>97</v>
      </c>
      <c r="C28" s="9"/>
      <c r="D28" s="9"/>
      <c r="E28" s="9"/>
      <c r="F28" s="9"/>
      <c r="G28" s="9">
        <f t="shared" ref="G28:G30" si="202">G10/C10-1</f>
        <v>0.1506761107533805</v>
      </c>
      <c r="H28" s="9">
        <f t="shared" ref="H28" si="203">H10/D10-1</f>
        <v>0.14435009797517973</v>
      </c>
      <c r="I28" s="9">
        <f t="shared" ref="I28" si="204">I10/E10-1</f>
        <v>0.10730253353204167</v>
      </c>
      <c r="J28" s="9">
        <f t="shared" ref="J28" si="205">J10/F10-1</f>
        <v>0.1192373363688104</v>
      </c>
      <c r="K28" s="9">
        <f t="shared" ref="K28" si="206">K10/G10-1</f>
        <v>0.11275881365416907</v>
      </c>
      <c r="L28" s="9">
        <f t="shared" ref="L28" si="207">L10/H10-1</f>
        <v>0.1615296803652968</v>
      </c>
      <c r="M28" s="9">
        <f t="shared" ref="M28" si="208">M10/I10-1</f>
        <v>0.16177658142664875</v>
      </c>
      <c r="N28" s="9">
        <f t="shared" ref="N28" si="209">N10/J10-1</f>
        <v>0.14747012458682929</v>
      </c>
      <c r="O28" s="9">
        <f t="shared" ref="O28" si="210">O10/K10-1</f>
        <v>0.14785013829519733</v>
      </c>
      <c r="P28" s="9">
        <f t="shared" ref="P28" si="211">P10/L10-1</f>
        <v>0.13095823095823089</v>
      </c>
      <c r="Q28" s="9">
        <f t="shared" ref="Q28" si="212">Q10/M10-1</f>
        <v>0.13229842446709927</v>
      </c>
      <c r="R28" s="9">
        <f t="shared" ref="R28" si="213">R10/N10-1</f>
        <v>0.15532904941280745</v>
      </c>
      <c r="S28" s="9">
        <f t="shared" ref="S28" si="214">S10/O10-1</f>
        <v>7.9079956188389922E-2</v>
      </c>
      <c r="T28" s="9">
        <f t="shared" ref="T28" si="215">T10/P10-1</f>
        <v>6.4305887464696898E-2</v>
      </c>
      <c r="U28" s="9">
        <f t="shared" ref="U28" si="216">U10/Q10-1</f>
        <v>6.4865970943319029E-2</v>
      </c>
      <c r="V28" s="9">
        <f t="shared" ref="V28" si="217">V10/R10-1</f>
        <v>9.0717299578058963E-2</v>
      </c>
      <c r="W28" s="9">
        <f t="shared" ref="W28:X28" si="218">W10/S10-1</f>
        <v>0.13662200568412497</v>
      </c>
      <c r="X28" s="9">
        <f t="shared" si="218"/>
        <v>0.17534190651153292</v>
      </c>
      <c r="Y28" s="9">
        <f t="shared" ref="Y28" si="219">Y10/U10-1</f>
        <v>0.21176018447348199</v>
      </c>
      <c r="Z28" s="9">
        <f t="shared" ref="Z28" si="220">Z10/V10-1</f>
        <v>0.20432565500263755</v>
      </c>
      <c r="AA28" s="9">
        <f t="shared" ref="AA28" si="221">AA10/W10-1</f>
        <v>0.18378281836042154</v>
      </c>
      <c r="AB28" s="9">
        <f t="shared" ref="AB28:AL28" si="222">AB10/X10-1</f>
        <v>0.18860715526224392</v>
      </c>
      <c r="AC28" s="9">
        <f t="shared" si="222"/>
        <v>0.1075166508087535</v>
      </c>
      <c r="AD28" s="9">
        <f t="shared" si="222"/>
        <v>-1.6060738793984508E-2</v>
      </c>
      <c r="AE28" s="9">
        <f t="shared" si="222"/>
        <v>4.6771273385637357E-3</v>
      </c>
      <c r="AF28" s="9">
        <f t="shared" si="222"/>
        <v>-2.7030976037405008E-2</v>
      </c>
      <c r="AG28" s="9">
        <f t="shared" si="222"/>
        <v>2.2623138602519965E-2</v>
      </c>
      <c r="AH28" s="9">
        <f t="shared" si="222"/>
        <v>0.19542958895978635</v>
      </c>
      <c r="AI28" s="9">
        <f t="shared" si="222"/>
        <v>0.13290283826400362</v>
      </c>
      <c r="AJ28" s="9">
        <f t="shared" si="222"/>
        <v>0.18891725484306954</v>
      </c>
      <c r="AK28" s="9">
        <f t="shared" si="222"/>
        <v>0.14785774292915144</v>
      </c>
      <c r="AL28" s="9">
        <f t="shared" si="222"/>
        <v>7.0000000000000062E-2</v>
      </c>
      <c r="AN28" s="9"/>
      <c r="AO28" s="9">
        <f>AO10/AN10-1</f>
        <v>0.12955434532484467</v>
      </c>
      <c r="AP28" s="9">
        <f t="shared" ref="AP28:BD28" si="223">AP10/AO10-1</f>
        <v>0.14600027162841234</v>
      </c>
      <c r="AQ28" s="9">
        <f t="shared" si="223"/>
        <v>0.14179900450343674</v>
      </c>
      <c r="AR28" s="9">
        <f t="shared" si="223"/>
        <v>7.5094711713114437E-2</v>
      </c>
      <c r="AS28" s="9">
        <f t="shared" si="223"/>
        <v>0.1832400077234988</v>
      </c>
      <c r="AT28" s="9">
        <f t="shared" si="223"/>
        <v>0.10945659268929497</v>
      </c>
      <c r="AU28" s="9">
        <f t="shared" si="223"/>
        <v>4.8575105717962863E-2</v>
      </c>
      <c r="AV28" s="9">
        <f t="shared" si="223"/>
        <v>0.13195819890587734</v>
      </c>
      <c r="AW28" s="9">
        <f t="shared" si="223"/>
        <v>6.0000000000000053E-2</v>
      </c>
      <c r="AX28" s="9">
        <f t="shared" si="223"/>
        <v>4.0000000000000036E-2</v>
      </c>
      <c r="AY28" s="9">
        <f t="shared" si="223"/>
        <v>2.0000000000000018E-2</v>
      </c>
      <c r="AZ28" s="9">
        <f t="shared" si="223"/>
        <v>1.0000000000000009E-2</v>
      </c>
      <c r="BA28" s="9">
        <f t="shared" si="223"/>
        <v>1.0000000000000009E-2</v>
      </c>
      <c r="BB28" s="9">
        <f t="shared" si="223"/>
        <v>1.0000000000000009E-2</v>
      </c>
      <c r="BC28" s="9">
        <f t="shared" si="223"/>
        <v>1.0000000000000009E-2</v>
      </c>
      <c r="BD28" s="9">
        <f t="shared" si="223"/>
        <v>1.0000000000000009E-2</v>
      </c>
      <c r="BE28" s="9">
        <f t="shared" ref="BE28" si="224">BE10/BD10-1</f>
        <v>1.0000000000000009E-2</v>
      </c>
      <c r="BF28" s="9">
        <f t="shared" ref="BF28" si="225">BF10/BE10-1</f>
        <v>1.0000000000000009E-2</v>
      </c>
      <c r="BH28" s="6" t="s">
        <v>93</v>
      </c>
      <c r="BI28" s="18">
        <f>BI26/BI27-1</f>
        <v>-0.1306971479613509</v>
      </c>
    </row>
    <row r="29" spans="2:179" x14ac:dyDescent="0.3">
      <c r="B29" t="s">
        <v>77</v>
      </c>
      <c r="C29" s="9">
        <f t="shared" ref="C29:F29" si="226">C11/C$5</f>
        <v>0.14858250992704775</v>
      </c>
      <c r="D29" s="9">
        <f t="shared" si="226"/>
        <v>0.1579416092310075</v>
      </c>
      <c r="E29" s="9">
        <f t="shared" si="226"/>
        <v>0.16681027054971567</v>
      </c>
      <c r="F29" s="9">
        <f t="shared" si="226"/>
        <v>0.16762351103300135</v>
      </c>
      <c r="G29" s="9">
        <f t="shared" ref="G29:V29" si="227">G11/G$5</f>
        <v>0.15535088434265221</v>
      </c>
      <c r="H29" s="9">
        <f t="shared" si="227"/>
        <v>0.15775641468981258</v>
      </c>
      <c r="I29" s="9">
        <f t="shared" si="227"/>
        <v>0.16163913643312577</v>
      </c>
      <c r="J29" s="9">
        <f t="shared" si="227"/>
        <v>0.15821838125311616</v>
      </c>
      <c r="K29" s="9">
        <f t="shared" si="227"/>
        <v>0.14090221427589053</v>
      </c>
      <c r="L29" s="9">
        <f t="shared" si="227"/>
        <v>0.14129530966092821</v>
      </c>
      <c r="M29" s="9">
        <f t="shared" si="227"/>
        <v>0.14932452324098</v>
      </c>
      <c r="N29" s="9">
        <f t="shared" si="227"/>
        <v>0.14716611798202686</v>
      </c>
      <c r="O29" s="9">
        <f t="shared" si="227"/>
        <v>0.13120556648010892</v>
      </c>
      <c r="P29" s="9">
        <f t="shared" si="227"/>
        <v>0.13366390288841923</v>
      </c>
      <c r="Q29" s="9">
        <f t="shared" si="227"/>
        <v>0.14023014762571029</v>
      </c>
      <c r="R29" s="9">
        <f t="shared" si="227"/>
        <v>0.14242894328609365</v>
      </c>
      <c r="S29" s="9">
        <f t="shared" si="227"/>
        <v>0.11387737524896377</v>
      </c>
      <c r="T29" s="9">
        <f t="shared" si="227"/>
        <v>0.11484353236140775</v>
      </c>
      <c r="U29" s="9">
        <f t="shared" si="227"/>
        <v>0.12185297079556898</v>
      </c>
      <c r="V29" s="9">
        <f t="shared" si="227"/>
        <v>0.12690674293638413</v>
      </c>
      <c r="W29" s="9">
        <f t="shared" ref="W29:X29" si="228">W11/W$5</f>
        <v>0.100337621643092</v>
      </c>
      <c r="X29" s="9">
        <f t="shared" si="228"/>
        <v>0.10398623569440149</v>
      </c>
      <c r="Y29" s="9">
        <f t="shared" ref="Y29" si="229">Y11/Y$5</f>
        <v>0.11335089141004863</v>
      </c>
      <c r="Z29" s="9">
        <f t="shared" ref="Z29" si="230">Z11/Z$5</f>
        <v>0.12154632218258941</v>
      </c>
      <c r="AA29" s="9">
        <f t="shared" ref="AA29" si="231">AA11/AA$5</f>
        <v>0.10227046007741111</v>
      </c>
      <c r="AB29" s="9">
        <f t="shared" ref="AB29:AC29" si="232">AB11/AB$5</f>
        <v>0.10766489089426887</v>
      </c>
      <c r="AC29" s="9">
        <f t="shared" si="232"/>
        <v>0.10878407779480485</v>
      </c>
      <c r="AD29" s="9">
        <f t="shared" ref="AD29:AE29" si="233">AD11/AD$5</f>
        <v>0.11041307017387746</v>
      </c>
      <c r="AE29" s="9">
        <f t="shared" si="233"/>
        <v>9.1777695206751955E-2</v>
      </c>
      <c r="AF29" s="9">
        <f t="shared" ref="AF29:AG29" si="234">AF11/AF$5</f>
        <v>9.1777695206751955E-2</v>
      </c>
      <c r="AG29" s="9">
        <f t="shared" si="234"/>
        <v>0.10070944856497904</v>
      </c>
      <c r="AH29" s="9">
        <f t="shared" ref="AH29:AI29" si="235">AH11/AH$5</f>
        <v>0.10530381448236439</v>
      </c>
      <c r="AI29" s="9">
        <f t="shared" si="235"/>
        <v>8.716932225356408E-2</v>
      </c>
      <c r="AJ29" s="9">
        <f t="shared" ref="AJ29:AL29" si="236">AJ11/AJ$5</f>
        <v>9.2486213235294115E-2</v>
      </c>
      <c r="AK29" s="9">
        <f t="shared" si="236"/>
        <v>8.8659264122398884E-2</v>
      </c>
      <c r="AL29" s="9">
        <f t="shared" si="236"/>
        <v>0.1</v>
      </c>
      <c r="AN29" s="9">
        <f t="shared" ref="AN29:AP29" si="237">AN11/AN$5</f>
        <v>0.16054869627522039</v>
      </c>
      <c r="AO29" s="9">
        <f t="shared" si="237"/>
        <v>0.15829104748097136</v>
      </c>
      <c r="AP29" s="9">
        <f t="shared" si="237"/>
        <v>0.14472795467368069</v>
      </c>
      <c r="AQ29" s="9">
        <f t="shared" ref="AQ29:BA29" si="238">AQ11/AQ$5</f>
        <v>0.13703457679264414</v>
      </c>
      <c r="AR29" s="9">
        <f t="shared" si="238"/>
        <v>0.1196813573842273</v>
      </c>
      <c r="AS29" s="9">
        <f t="shared" ref="AS29" si="239">AS11/AS$5</f>
        <v>0.11007716749886519</v>
      </c>
      <c r="AT29" s="9">
        <f t="shared" si="238"/>
        <v>0.10739683363612769</v>
      </c>
      <c r="AU29" s="9">
        <f t="shared" ref="AU29" si="240">AU11/AU$5</f>
        <v>9.7739187008144934E-2</v>
      </c>
      <c r="AV29" s="9">
        <f t="shared" si="238"/>
        <v>9.2293164001134562E-2</v>
      </c>
      <c r="AW29" s="9">
        <f t="shared" si="238"/>
        <v>8.4047314417466629E-2</v>
      </c>
      <c r="AX29" s="9">
        <f t="shared" si="238"/>
        <v>8.0382317606212256E-2</v>
      </c>
      <c r="AY29" s="9">
        <f t="shared" si="238"/>
        <v>7.8020854630970235E-2</v>
      </c>
      <c r="AZ29" s="9">
        <f t="shared" si="238"/>
        <v>7.6301677782255967E-2</v>
      </c>
      <c r="BA29" s="9">
        <f t="shared" si="238"/>
        <v>7.5202911574408476E-2</v>
      </c>
      <c r="BB29" s="9">
        <f t="shared" ref="BB29:BD29" si="241">BB11/BB$5</f>
        <v>7.4713341297713717E-2</v>
      </c>
      <c r="BC29" s="9">
        <f t="shared" si="241"/>
        <v>7.4223062185544197E-2</v>
      </c>
      <c r="BD29" s="9">
        <f t="shared" si="241"/>
        <v>7.4340010148278804E-2</v>
      </c>
      <c r="BE29" s="9">
        <f t="shared" ref="BE29:BF29" si="242">BE11/BE$5</f>
        <v>7.4456175260958726E-2</v>
      </c>
      <c r="BF29" s="9">
        <f t="shared" si="242"/>
        <v>7.4571559776541979E-2</v>
      </c>
      <c r="BH29" t="s">
        <v>94</v>
      </c>
      <c r="BI29" s="3" t="s">
        <v>135</v>
      </c>
    </row>
    <row r="30" spans="2:179" x14ac:dyDescent="0.3">
      <c r="B30" t="s">
        <v>98</v>
      </c>
      <c r="C30" s="9"/>
      <c r="D30" s="9"/>
      <c r="E30" s="9"/>
      <c r="F30" s="9"/>
      <c r="G30" s="9">
        <f t="shared" si="202"/>
        <v>0.11578947368421044</v>
      </c>
      <c r="H30" s="9">
        <f t="shared" ref="H30" si="243">H12/D12-1</f>
        <v>0.26166097838452784</v>
      </c>
      <c r="I30" s="9">
        <f t="shared" ref="I30" si="244">I12/E12-1</f>
        <v>4.991680532445919E-3</v>
      </c>
      <c r="J30" s="9">
        <f t="shared" ref="J30" si="245">J12/F12-1</f>
        <v>-6.199261992619931E-2</v>
      </c>
      <c r="K30" s="9">
        <f t="shared" ref="K30" si="246">K12/G12-1</f>
        <v>-1.4579759862778707E-2</v>
      </c>
      <c r="L30" s="9">
        <f t="shared" ref="L30" si="247">L12/H12-1</f>
        <v>2.0739404869251521E-2</v>
      </c>
      <c r="M30" s="9">
        <f t="shared" ref="M30" si="248">M12/I12-1</f>
        <v>-2.4006622516556275E-2</v>
      </c>
      <c r="N30" s="9">
        <f t="shared" ref="N30" si="249">N12/J12-1</f>
        <v>0.12116443745082606</v>
      </c>
      <c r="O30" s="9">
        <f t="shared" ref="O30" si="250">O12/K12-1</f>
        <v>-7.6588337684943442E-2</v>
      </c>
      <c r="P30" s="9">
        <f t="shared" ref="P30" si="251">P12/L12-1</f>
        <v>-9.7173144876324669E-3</v>
      </c>
      <c r="Q30" s="9">
        <f t="shared" ref="Q30" si="252">Q12/M12-1</f>
        <v>7.9728583545377374E-2</v>
      </c>
      <c r="R30" s="9">
        <f t="shared" ref="R30" si="253">R12/N12-1</f>
        <v>0.16210526315789475</v>
      </c>
      <c r="S30" s="9">
        <f t="shared" ref="S30" si="254">S12/O12-1</f>
        <v>5.4665409990575009E-2</v>
      </c>
      <c r="T30" s="9">
        <f t="shared" ref="T30" si="255">T12/P12-1</f>
        <v>1.605709188224802E-2</v>
      </c>
      <c r="U30" s="9">
        <f t="shared" ref="U30" si="256">U12/Q12-1</f>
        <v>4.2419481539670123E-2</v>
      </c>
      <c r="V30" s="9">
        <f t="shared" ref="V30" si="257">V12/R12-1</f>
        <v>-8.0917874396135292E-2</v>
      </c>
      <c r="W30" s="9">
        <f t="shared" ref="W30:X30" si="258">W12/S12-1</f>
        <v>0.15013404825737275</v>
      </c>
      <c r="X30" s="9">
        <f t="shared" si="258"/>
        <v>0.21510096575943805</v>
      </c>
      <c r="Y30" s="9">
        <f t="shared" ref="Y30" si="259">Y12/U12-1</f>
        <v>0.1152976639035419</v>
      </c>
      <c r="Z30" s="9">
        <f t="shared" ref="Z30" si="260">Z12/V12-1</f>
        <v>0.14914586070959257</v>
      </c>
      <c r="AA30" s="9">
        <f t="shared" ref="AA30" si="261">AA12/W12-1</f>
        <v>8.6247086247086324E-2</v>
      </c>
      <c r="AB30" s="9">
        <f t="shared" ref="AB30:AL30" si="262">AB12/X12-1</f>
        <v>0.68858381502890165</v>
      </c>
      <c r="AC30" s="9">
        <f t="shared" si="262"/>
        <v>0.11013513513513518</v>
      </c>
      <c r="AD30" s="9">
        <f t="shared" si="262"/>
        <v>0.25614636935391655</v>
      </c>
      <c r="AE30" s="9">
        <f t="shared" si="262"/>
        <v>5.4363376251788331E-2</v>
      </c>
      <c r="AF30" s="9">
        <f t="shared" si="262"/>
        <v>-0.36927685066324345</v>
      </c>
      <c r="AG30" s="9">
        <f t="shared" si="262"/>
        <v>0.20328667072428486</v>
      </c>
      <c r="AH30" s="9">
        <f t="shared" si="262"/>
        <v>2.2303140646335873E-2</v>
      </c>
      <c r="AI30" s="9">
        <f t="shared" si="262"/>
        <v>0.1350067842605156</v>
      </c>
      <c r="AJ30" s="9">
        <f t="shared" si="262"/>
        <v>0.23677069199457268</v>
      </c>
      <c r="AK30" s="9">
        <f t="shared" si="262"/>
        <v>-0.12139605462822456</v>
      </c>
      <c r="AL30" s="9">
        <f t="shared" si="262"/>
        <v>6.0000000000000053E-2</v>
      </c>
      <c r="AN30" s="9"/>
      <c r="AO30" s="9">
        <f t="shared" ref="AO30:BD30" si="263">AO12/AN12-1</f>
        <v>6.0923900914974238E-2</v>
      </c>
      <c r="AP30" s="9">
        <f t="shared" si="263"/>
        <v>2.7555742532604066E-2</v>
      </c>
      <c r="AQ30" s="9">
        <f t="shared" si="263"/>
        <v>4.6264073694984642E-2</v>
      </c>
      <c r="AR30" s="9">
        <f t="shared" si="263"/>
        <v>-7.8262570925458075E-4</v>
      </c>
      <c r="AS30" s="9">
        <f t="shared" si="263"/>
        <v>0.15527707068729191</v>
      </c>
      <c r="AT30" s="9">
        <f t="shared" si="263"/>
        <v>0.28389830508474567</v>
      </c>
      <c r="AU30" s="9">
        <f t="shared" si="263"/>
        <v>-5.3333333333333344E-2</v>
      </c>
      <c r="AV30" s="9">
        <f t="shared" si="263"/>
        <v>6.1743132059684847E-2</v>
      </c>
      <c r="AW30" s="9">
        <f t="shared" si="263"/>
        <v>5.0000000000000044E-2</v>
      </c>
      <c r="AX30" s="9">
        <f t="shared" si="263"/>
        <v>4.0000000000000036E-2</v>
      </c>
      <c r="AY30" s="9">
        <f t="shared" si="263"/>
        <v>3.0000000000000027E-2</v>
      </c>
      <c r="AZ30" s="9">
        <f t="shared" si="263"/>
        <v>2.0000000000000018E-2</v>
      </c>
      <c r="BA30" s="9">
        <f t="shared" si="263"/>
        <v>2.0000000000000018E-2</v>
      </c>
      <c r="BB30" s="9">
        <f t="shared" si="263"/>
        <v>1.0000000000000009E-2</v>
      </c>
      <c r="BC30" s="9">
        <f t="shared" si="263"/>
        <v>1.0000000000000009E-2</v>
      </c>
      <c r="BD30" s="9">
        <f t="shared" si="263"/>
        <v>1.0000000000000009E-2</v>
      </c>
      <c r="BE30" s="9">
        <f t="shared" ref="BE30" si="264">BE12/BD12-1</f>
        <v>1.0000000000000009E-2</v>
      </c>
      <c r="BF30" s="9">
        <f t="shared" ref="BF30" si="265">BF12/BE12-1</f>
        <v>1.0000000000000009E-2</v>
      </c>
    </row>
    <row r="31" spans="2:179" x14ac:dyDescent="0.3">
      <c r="B31" t="s">
        <v>78</v>
      </c>
      <c r="C31" s="9">
        <f t="shared" ref="C31:F31" si="266">C16/C15</f>
        <v>0.17691017233490924</v>
      </c>
      <c r="D31" s="9">
        <f t="shared" si="266"/>
        <v>0.21877337322363499</v>
      </c>
      <c r="E31" s="9">
        <f t="shared" si="266"/>
        <v>0.22667042571186918</v>
      </c>
      <c r="F31" s="9">
        <f t="shared" si="266"/>
        <v>-1.3948228198039708E-2</v>
      </c>
      <c r="G31" s="9">
        <f>G16/G15</f>
        <v>0.17635270541082165</v>
      </c>
      <c r="H31" s="9">
        <f>1671/H15</f>
        <v>0.18224451957683499</v>
      </c>
      <c r="I31" s="9">
        <f t="shared" ref="I31:V31" si="267">I16/I15</f>
        <v>0.14084018053466035</v>
      </c>
      <c r="J31" s="9">
        <f t="shared" si="267"/>
        <v>0.16919475655430713</v>
      </c>
      <c r="K31" s="9">
        <f t="shared" si="267"/>
        <v>0.13667938557871051</v>
      </c>
      <c r="L31" s="9">
        <f t="shared" si="267"/>
        <v>0.18921521425132404</v>
      </c>
      <c r="M31" s="9">
        <f t="shared" si="267"/>
        <v>0.15992752241083349</v>
      </c>
      <c r="N31" s="9">
        <f t="shared" si="267"/>
        <v>-4.6919657033979038E-2</v>
      </c>
      <c r="O31" s="9">
        <f t="shared" si="267"/>
        <v>0.15828472331704241</v>
      </c>
      <c r="P31" s="9">
        <f t="shared" si="267"/>
        <v>0.17294994675186368</v>
      </c>
      <c r="Q31" s="9">
        <f t="shared" si="267"/>
        <v>0.16281242700303666</v>
      </c>
      <c r="R31" s="9">
        <f t="shared" si="267"/>
        <v>0.16540008940545373</v>
      </c>
      <c r="S31" s="9">
        <f t="shared" si="267"/>
        <v>0.13836516993301909</v>
      </c>
      <c r="T31" s="9">
        <f t="shared" si="267"/>
        <v>0.15673228990565524</v>
      </c>
      <c r="U31" s="9">
        <f t="shared" si="267"/>
        <v>0.10321420283128337</v>
      </c>
      <c r="V31" s="9">
        <f t="shared" si="267"/>
        <v>0.15186807523834064</v>
      </c>
      <c r="W31" s="9">
        <f t="shared" ref="W31:X31" si="268">W16/W15</f>
        <v>9.2574546871954783E-4</v>
      </c>
      <c r="X31" s="9">
        <f t="shared" si="268"/>
        <v>0.17567694181579688</v>
      </c>
      <c r="Y31" s="9">
        <f t="shared" ref="Y31" si="269">Y16/Y15</f>
        <v>0.17147102526002972</v>
      </c>
      <c r="Z31" s="9">
        <f t="shared" ref="Z31" si="270">Z16/Z15</f>
        <v>0.18289647093278666</v>
      </c>
      <c r="AA31" s="9">
        <f t="shared" ref="AA31" si="271">AA16/AA15</f>
        <v>0.18616725384758021</v>
      </c>
      <c r="AB31" s="9">
        <f t="shared" ref="AB31:AC31" si="272">AB16/AB15</f>
        <v>0.19243817296818919</v>
      </c>
      <c r="AC31" s="9">
        <f t="shared" si="272"/>
        <v>0.19291668504388479</v>
      </c>
      <c r="AD31" s="9">
        <f t="shared" ref="AD31:AE31" si="273">AD16/AD15</f>
        <v>0.18789177821814212</v>
      </c>
      <c r="AE31" s="9">
        <f t="shared" si="273"/>
        <v>0.18300102624248643</v>
      </c>
      <c r="AF31" s="9">
        <f t="shared" ref="AF31:AG31" si="274">AF16/AF15</f>
        <v>0.18300102624248643</v>
      </c>
      <c r="AG31" s="9">
        <f t="shared" si="274"/>
        <v>0.17552589911784663</v>
      </c>
      <c r="AH31" s="9">
        <f t="shared" ref="AH31:AI31" si="275">AH16/AH15</f>
        <v>0.1913394495412844</v>
      </c>
      <c r="AI31" s="9">
        <f t="shared" si="275"/>
        <v>0.18507383791998414</v>
      </c>
      <c r="AJ31" s="9">
        <f t="shared" ref="AJ31:AL31" si="276">AJ16/AJ15</f>
        <v>0.17902264600715137</v>
      </c>
      <c r="AK31" s="9">
        <f t="shared" si="276"/>
        <v>0.17697676642126398</v>
      </c>
      <c r="AL31" s="9">
        <f t="shared" si="276"/>
        <v>0.19</v>
      </c>
      <c r="AN31" s="9">
        <f t="shared" ref="AN31:AP31" si="277">AN16/AN15</f>
        <v>0.14889811346225237</v>
      </c>
      <c r="AO31" s="9">
        <f t="shared" si="277"/>
        <v>0.16732466962768</v>
      </c>
      <c r="AP31" s="9">
        <f t="shared" si="277"/>
        <v>0.10181285478850027</v>
      </c>
      <c r="AQ31" s="9">
        <f t="shared" ref="AQ31:BA31" si="278">AQ16/AQ15</f>
        <v>0.16507655177615205</v>
      </c>
      <c r="AR31" s="9">
        <f t="shared" si="278"/>
        <v>0.13826615285083402</v>
      </c>
      <c r="AS31" s="9">
        <f t="shared" ref="AS31" si="279">AS16/AS15</f>
        <v>0.132990902152713</v>
      </c>
      <c r="AT31" s="9">
        <f t="shared" si="278"/>
        <v>0.18978625253328257</v>
      </c>
      <c r="AU31" s="9">
        <f t="shared" ref="AU31" si="280">AU16/AU15</f>
        <v>0.18326810898619214</v>
      </c>
      <c r="AV31" s="9">
        <f t="shared" si="278"/>
        <v>0.18282757151368959</v>
      </c>
      <c r="AW31" s="9">
        <f t="shared" si="278"/>
        <v>0.19</v>
      </c>
      <c r="AX31" s="9">
        <f t="shared" si="278"/>
        <v>0.19</v>
      </c>
      <c r="AY31" s="9">
        <f t="shared" si="278"/>
        <v>0.19</v>
      </c>
      <c r="AZ31" s="9">
        <f t="shared" si="278"/>
        <v>0.18999999999999997</v>
      </c>
      <c r="BA31" s="9">
        <f t="shared" si="278"/>
        <v>0.18999999999999997</v>
      </c>
      <c r="BB31" s="9">
        <f t="shared" ref="BB31:BD31" si="281">BB16/BB15</f>
        <v>0.19</v>
      </c>
      <c r="BC31" s="9">
        <f t="shared" si="281"/>
        <v>0.18999999999999997</v>
      </c>
      <c r="BD31" s="9">
        <f t="shared" si="281"/>
        <v>0.19</v>
      </c>
      <c r="BE31" s="9">
        <f t="shared" ref="BE31:BF31" si="282">BE16/BE15</f>
        <v>0.19000000000000003</v>
      </c>
      <c r="BF31" s="9">
        <f t="shared" si="282"/>
        <v>0.19000000000000003</v>
      </c>
    </row>
    <row r="34" spans="1:31" x14ac:dyDescent="0.3">
      <c r="B34" t="s">
        <v>4</v>
      </c>
      <c r="Y34" s="24"/>
      <c r="Z34" s="24">
        <f>13931+90826+6891</f>
        <v>111648</v>
      </c>
      <c r="AA34" s="24">
        <f>107262+6839</f>
        <v>114101</v>
      </c>
      <c r="AB34" s="24">
        <f>15646+83862+7097</f>
        <v>106605</v>
      </c>
      <c r="AC34" s="24">
        <f>104427+9415</f>
        <v>113842</v>
      </c>
      <c r="AD34" s="24">
        <f>34704+76558+9879</f>
        <v>121141</v>
      </c>
      <c r="AE34" s="24">
        <f>80452+63499+11423</f>
        <v>155374</v>
      </c>
    </row>
    <row r="35" spans="1:31" x14ac:dyDescent="0.3">
      <c r="B35" t="s">
        <v>113</v>
      </c>
      <c r="Y35" s="24"/>
      <c r="Z35" s="24">
        <v>44261</v>
      </c>
      <c r="AA35" s="24">
        <v>31279</v>
      </c>
      <c r="AB35" s="24">
        <v>35833</v>
      </c>
      <c r="AC35" s="24">
        <v>37420</v>
      </c>
      <c r="AD35" s="24">
        <v>48688</v>
      </c>
      <c r="AE35" s="24">
        <v>36953</v>
      </c>
    </row>
    <row r="36" spans="1:31" x14ac:dyDescent="0.3">
      <c r="B36" t="s">
        <v>114</v>
      </c>
      <c r="Y36" s="24"/>
      <c r="Z36" s="24">
        <v>3742</v>
      </c>
      <c r="AA36" s="24">
        <v>4268</v>
      </c>
      <c r="AB36" s="24">
        <v>2980</v>
      </c>
      <c r="AC36" s="24">
        <v>2877</v>
      </c>
      <c r="AD36" s="24">
        <v>2500</v>
      </c>
      <c r="AE36" s="24">
        <v>3000</v>
      </c>
    </row>
    <row r="37" spans="1:31" x14ac:dyDescent="0.3">
      <c r="B37" t="s">
        <v>115</v>
      </c>
      <c r="Y37" s="24"/>
      <c r="Z37" s="24">
        <v>16924</v>
      </c>
      <c r="AA37" s="24">
        <v>18003</v>
      </c>
      <c r="AB37" s="24">
        <v>19502</v>
      </c>
      <c r="AC37" s="24">
        <v>19165</v>
      </c>
      <c r="AD37" s="24">
        <f>21807</f>
        <v>21807</v>
      </c>
      <c r="AE37" s="24">
        <v>23682</v>
      </c>
    </row>
    <row r="38" spans="1:31" x14ac:dyDescent="0.3">
      <c r="B38" t="s">
        <v>116</v>
      </c>
      <c r="Y38" s="24"/>
      <c r="Z38" s="24">
        <v>74398</v>
      </c>
      <c r="AA38" s="24">
        <v>77037</v>
      </c>
      <c r="AB38" s="24">
        <v>82755</v>
      </c>
      <c r="AC38" s="24">
        <v>88132</v>
      </c>
      <c r="AD38" s="24">
        <v>95641</v>
      </c>
      <c r="AE38" s="24">
        <v>102502</v>
      </c>
    </row>
    <row r="39" spans="1:31" x14ac:dyDescent="0.3">
      <c r="B39" t="s">
        <v>128</v>
      </c>
      <c r="Y39" s="24"/>
      <c r="Z39" s="24">
        <v>13148</v>
      </c>
      <c r="AA39" s="24">
        <v>13347</v>
      </c>
      <c r="AB39" s="24">
        <v>13624</v>
      </c>
      <c r="AC39" s="24">
        <v>13879</v>
      </c>
      <c r="AD39" s="24">
        <v>14346</v>
      </c>
      <c r="AE39" s="24">
        <v>15435</v>
      </c>
    </row>
    <row r="40" spans="1:31" x14ac:dyDescent="0.3">
      <c r="B40" t="s">
        <v>117</v>
      </c>
      <c r="Y40" s="24"/>
      <c r="Z40" s="24">
        <v>67524</v>
      </c>
      <c r="AA40" s="24">
        <v>67459</v>
      </c>
      <c r="AB40" s="24">
        <v>67905</v>
      </c>
      <c r="AC40" s="24">
        <v>67940</v>
      </c>
      <c r="AD40" s="24">
        <v>67886</v>
      </c>
      <c r="AE40" s="24">
        <v>67790</v>
      </c>
    </row>
    <row r="41" spans="1:31" x14ac:dyDescent="0.3">
      <c r="B41" t="s">
        <v>118</v>
      </c>
      <c r="Y41" s="24"/>
      <c r="Z41" s="24">
        <v>11298</v>
      </c>
      <c r="AA41" s="24">
        <v>10808</v>
      </c>
      <c r="AB41" s="24">
        <v>10354</v>
      </c>
      <c r="AC41" s="24">
        <v>9879</v>
      </c>
      <c r="AD41" s="24">
        <v>9366</v>
      </c>
      <c r="AE41" s="24">
        <v>8895</v>
      </c>
    </row>
    <row r="42" spans="1:31" x14ac:dyDescent="0.3">
      <c r="B42" t="s">
        <v>119</v>
      </c>
      <c r="Y42" s="24"/>
      <c r="Z42" s="24">
        <v>21897</v>
      </c>
      <c r="AA42" s="24">
        <v>23482</v>
      </c>
      <c r="AB42" s="24">
        <v>24994</v>
      </c>
      <c r="AC42" s="24">
        <v>26954</v>
      </c>
      <c r="AD42" s="24">
        <f>30601</f>
        <v>30601</v>
      </c>
      <c r="AE42" s="24">
        <f>32154</f>
        <v>32154</v>
      </c>
    </row>
    <row r="43" spans="1:31" s="6" customFormat="1" x14ac:dyDescent="0.3">
      <c r="A43"/>
      <c r="B43" s="6" t="s">
        <v>120</v>
      </c>
      <c r="Y43" s="25"/>
      <c r="Z43" s="25">
        <f t="shared" ref="Z43:AE43" si="283">SUM(Z34:Z42)</f>
        <v>364840</v>
      </c>
      <c r="AA43" s="25">
        <f t="shared" si="283"/>
        <v>359784</v>
      </c>
      <c r="AB43" s="25">
        <f t="shared" si="283"/>
        <v>364552</v>
      </c>
      <c r="AC43" s="25">
        <f t="shared" si="283"/>
        <v>380088</v>
      </c>
      <c r="AD43" s="25">
        <f t="shared" si="283"/>
        <v>411976</v>
      </c>
      <c r="AE43" s="25">
        <f t="shared" si="283"/>
        <v>445785</v>
      </c>
    </row>
    <row r="44" spans="1:31" x14ac:dyDescent="0.3">
      <c r="Y44" s="24"/>
      <c r="Z44" s="24"/>
      <c r="AA44" s="24"/>
      <c r="AB44" s="24"/>
      <c r="AC44" s="24"/>
      <c r="AD44" s="24"/>
      <c r="AE44" s="24"/>
    </row>
    <row r="45" spans="1:31" x14ac:dyDescent="0.3">
      <c r="B45" t="s">
        <v>121</v>
      </c>
      <c r="Y45" s="24"/>
      <c r="Z45" s="24">
        <v>19000</v>
      </c>
      <c r="AA45" s="24">
        <v>16609</v>
      </c>
      <c r="AB45" s="24">
        <v>15354</v>
      </c>
      <c r="AC45" s="24">
        <v>15305</v>
      </c>
      <c r="AD45" s="24">
        <v>18095</v>
      </c>
      <c r="AE45" s="24">
        <v>19307</v>
      </c>
    </row>
    <row r="46" spans="1:31" x14ac:dyDescent="0.3">
      <c r="B46" t="s">
        <v>5</v>
      </c>
      <c r="Y46" s="24"/>
      <c r="Z46" s="24">
        <f>2749+47032</f>
        <v>49781</v>
      </c>
      <c r="AA46" s="24">
        <f>3248+45374</f>
        <v>48622</v>
      </c>
      <c r="AB46" s="24">
        <f>3997+44119</f>
        <v>48116</v>
      </c>
      <c r="AC46" s="24">
        <f>6245+41965</f>
        <v>48210</v>
      </c>
      <c r="AD46" s="24">
        <f>5247+41990</f>
        <v>47237</v>
      </c>
      <c r="AE46" s="24">
        <f>25808+3748+41946</f>
        <v>71502</v>
      </c>
    </row>
    <row r="47" spans="1:31" x14ac:dyDescent="0.3">
      <c r="B47" t="s">
        <v>122</v>
      </c>
      <c r="Y47" s="24"/>
      <c r="Z47" s="24">
        <f>10661+45538+2870</f>
        <v>59069</v>
      </c>
      <c r="AA47" s="24">
        <f>7405+41430+2549</f>
        <v>51384</v>
      </c>
      <c r="AB47" s="24">
        <f>9030+36982+2644</f>
        <v>48656</v>
      </c>
      <c r="AC47" s="24">
        <f>10411+36903+2698</f>
        <v>50012</v>
      </c>
      <c r="AD47" s="24">
        <f>11009+50901+2912</f>
        <v>64822</v>
      </c>
      <c r="AE47" s="24">
        <f>6990+46429+2759</f>
        <v>56178</v>
      </c>
    </row>
    <row r="48" spans="1:31" x14ac:dyDescent="0.3">
      <c r="B48" t="s">
        <v>124</v>
      </c>
      <c r="Y48" s="24"/>
      <c r="Z48" s="24">
        <v>13067</v>
      </c>
      <c r="AA48">
        <v>12058</v>
      </c>
      <c r="AB48" s="24">
        <v>12802</v>
      </c>
      <c r="AC48" s="24">
        <v>12664</v>
      </c>
      <c r="AD48" s="24">
        <v>14745</v>
      </c>
      <c r="AE48" s="24">
        <v>14475</v>
      </c>
    </row>
    <row r="49" spans="1:31" x14ac:dyDescent="0.3">
      <c r="B49" t="s">
        <v>39</v>
      </c>
      <c r="Y49" s="24"/>
      <c r="Z49" s="24">
        <f>4067+26069+230</f>
        <v>30366</v>
      </c>
      <c r="AA49" s="24">
        <f>6729+23712+223</f>
        <v>30664</v>
      </c>
      <c r="AB49" s="24">
        <f>3553+24169+289</f>
        <v>28011</v>
      </c>
      <c r="AC49" s="24">
        <f>4163+25000+302</f>
        <v>29465</v>
      </c>
      <c r="AD49" s="24">
        <f>4152+25560+433</f>
        <v>30145</v>
      </c>
      <c r="AE49" s="24">
        <f>8035+22983+470</f>
        <v>31488</v>
      </c>
    </row>
    <row r="50" spans="1:31" x14ac:dyDescent="0.3">
      <c r="B50" t="s">
        <v>129</v>
      </c>
      <c r="Y50" s="24"/>
      <c r="Z50" s="24">
        <v>11489</v>
      </c>
      <c r="AA50" s="24">
        <v>11660</v>
      </c>
      <c r="AB50" s="24">
        <v>11998</v>
      </c>
      <c r="AC50" s="24">
        <v>12312</v>
      </c>
      <c r="AD50" s="24">
        <v>12728</v>
      </c>
      <c r="AE50" s="24">
        <v>13487</v>
      </c>
    </row>
    <row r="51" spans="1:31" x14ac:dyDescent="0.3">
      <c r="B51" t="s">
        <v>123</v>
      </c>
      <c r="Y51" s="24"/>
      <c r="Z51" s="24">
        <v>15526</v>
      </c>
      <c r="AA51" s="24">
        <v>15311</v>
      </c>
      <c r="AB51" s="24">
        <v>16479</v>
      </c>
      <c r="AC51" s="24">
        <v>17437</v>
      </c>
      <c r="AD51" s="24">
        <f>17981</f>
        <v>17981</v>
      </c>
      <c r="AE51" s="24">
        <f>18634</f>
        <v>18634</v>
      </c>
    </row>
    <row r="52" spans="1:31" s="6" customFormat="1" x14ac:dyDescent="0.3">
      <c r="A52"/>
      <c r="B52" s="6" t="s">
        <v>125</v>
      </c>
      <c r="Y52" s="25"/>
      <c r="Z52" s="25">
        <f t="shared" ref="Z52:AE52" si="284">SUM(Z45:Z51)</f>
        <v>198298</v>
      </c>
      <c r="AA52" s="25">
        <f t="shared" si="284"/>
        <v>186308</v>
      </c>
      <c r="AB52" s="25">
        <f t="shared" si="284"/>
        <v>181416</v>
      </c>
      <c r="AC52" s="25">
        <f t="shared" si="284"/>
        <v>185405</v>
      </c>
      <c r="AD52" s="25">
        <f t="shared" si="284"/>
        <v>205753</v>
      </c>
      <c r="AE52" s="25">
        <f t="shared" si="284"/>
        <v>225071</v>
      </c>
    </row>
    <row r="53" spans="1:31" s="6" customFormat="1" x14ac:dyDescent="0.3">
      <c r="A53"/>
      <c r="B53" s="6" t="s">
        <v>126</v>
      </c>
      <c r="Y53" s="25"/>
      <c r="Z53" s="25">
        <v>166542</v>
      </c>
      <c r="AA53" s="25">
        <v>173566</v>
      </c>
      <c r="AB53" s="25">
        <v>183136</v>
      </c>
      <c r="AC53" s="25">
        <v>194683</v>
      </c>
      <c r="AD53" s="25">
        <v>206223</v>
      </c>
      <c r="AE53" s="25">
        <v>220714</v>
      </c>
    </row>
    <row r="54" spans="1:31" s="6" customFormat="1" x14ac:dyDescent="0.3">
      <c r="A54"/>
      <c r="B54" s="6" t="s">
        <v>127</v>
      </c>
      <c r="Y54" s="25"/>
      <c r="Z54" s="25">
        <f t="shared" ref="Z54:AE54" si="285">Z52+Z53</f>
        <v>364840</v>
      </c>
      <c r="AA54" s="25">
        <f t="shared" si="285"/>
        <v>359874</v>
      </c>
      <c r="AB54" s="25">
        <f t="shared" si="285"/>
        <v>364552</v>
      </c>
      <c r="AC54" s="25">
        <f t="shared" si="285"/>
        <v>380088</v>
      </c>
      <c r="AD54" s="25">
        <f t="shared" si="285"/>
        <v>411976</v>
      </c>
      <c r="AE54" s="25">
        <f t="shared" si="285"/>
        <v>445785</v>
      </c>
    </row>
  </sheetData>
  <phoneticPr fontId="3" type="noConversion"/>
  <pageMargins left="0.7" right="0.7" top="0.75" bottom="0.75" header="0.3" footer="0.3"/>
  <pageSetup paperSize="9" orientation="portrait" horizontalDpi="4294967293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2020-10-13T10:42:43Z</dcterms:created>
  <dcterms:modified xsi:type="dcterms:W3CDTF">2025-05-04T11:53:54Z</dcterms:modified>
</cp:coreProperties>
</file>