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394DB763-E1DA-46F2-8EF5-B9884AC45F96}" xr6:coauthVersionLast="47" xr6:coauthVersionMax="47" xr10:uidLastSave="{00000000-0000-0000-0000-000000000000}"/>
  <bookViews>
    <workbookView xWindow="-108" yWindow="-108" windowWidth="23256" windowHeight="12576" xr2:uid="{44A3A52B-B984-4465-AC96-672BE039DB0B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6" i="1" l="1"/>
  <c r="AE16" i="1"/>
  <c r="AB16" i="1" l="1"/>
  <c r="Z16" i="1"/>
  <c r="Y16" i="1"/>
  <c r="X16" i="1"/>
  <c r="W16" i="1"/>
  <c r="V16" i="1"/>
  <c r="T16" i="1"/>
  <c r="M16" i="1"/>
  <c r="L16" i="1"/>
  <c r="K16" i="1"/>
  <c r="J16" i="1"/>
  <c r="I16" i="1"/>
  <c r="H16" i="1"/>
  <c r="G16" i="1"/>
  <c r="F16" i="1"/>
  <c r="E16" i="1"/>
  <c r="D16" i="1"/>
  <c r="AF12" i="1"/>
  <c r="AE12" i="1"/>
  <c r="T12" i="1"/>
  <c r="I12" i="1"/>
  <c r="H12" i="1"/>
  <c r="G12" i="1"/>
  <c r="E12" i="1"/>
  <c r="D12" i="1"/>
  <c r="U16" i="1" l="1"/>
  <c r="N12" i="1"/>
  <c r="U12" i="1"/>
  <c r="O12" i="1"/>
  <c r="F12" i="1"/>
  <c r="AB13" i="1"/>
  <c r="Z13" i="1"/>
  <c r="Y13" i="1"/>
  <c r="X13" i="1"/>
  <c r="W13" i="1"/>
  <c r="AA15" i="1" l="1"/>
  <c r="AB15" i="1"/>
  <c r="J13" i="1" l="1"/>
  <c r="L13" i="1"/>
  <c r="K13" i="1"/>
  <c r="M13" i="1" l="1"/>
  <c r="AA13" i="1" l="1"/>
  <c r="M4" i="1" l="1"/>
  <c r="L4" i="1"/>
  <c r="K4" i="1"/>
  <c r="J4" i="1"/>
  <c r="I4" i="1"/>
  <c r="H4" i="1"/>
  <c r="AB4" i="1"/>
  <c r="AA4" i="1"/>
  <c r="Z4" i="1"/>
  <c r="Y4" i="1"/>
  <c r="X4" i="1"/>
  <c r="Y7" i="1" l="1"/>
  <c r="X7" i="1"/>
  <c r="W7" i="1"/>
  <c r="V7" i="1"/>
  <c r="T7" i="1"/>
  <c r="M7" i="1"/>
  <c r="L7" i="1"/>
  <c r="K7" i="1"/>
  <c r="J7" i="1"/>
  <c r="I7" i="1"/>
  <c r="H7" i="1"/>
  <c r="AF13" i="1" l="1"/>
  <c r="AE13" i="1"/>
  <c r="T13" i="1"/>
  <c r="I13" i="1"/>
  <c r="H13" i="1"/>
  <c r="G13" i="1"/>
  <c r="F13" i="1"/>
  <c r="E13" i="1"/>
  <c r="D13" i="1"/>
  <c r="U13" i="1" l="1"/>
  <c r="Q13" i="1"/>
  <c r="S13" i="1"/>
  <c r="R13" i="1"/>
  <c r="P13" i="1"/>
  <c r="N13" i="1"/>
  <c r="O13" i="1"/>
  <c r="AF15" i="1"/>
  <c r="AE15" i="1"/>
  <c r="Z15" i="1"/>
  <c r="Y15" i="1"/>
  <c r="X15" i="1"/>
  <c r="W15" i="1"/>
  <c r="V15" i="1"/>
  <c r="T15" i="1"/>
  <c r="M15" i="1"/>
  <c r="L15" i="1"/>
  <c r="K15" i="1"/>
  <c r="J15" i="1"/>
  <c r="I15" i="1"/>
  <c r="H15" i="1"/>
  <c r="G15" i="1"/>
  <c r="F15" i="1"/>
  <c r="E15" i="1"/>
  <c r="D15" i="1"/>
  <c r="U15" i="1" l="1"/>
  <c r="Y8" i="1"/>
  <c r="X8" i="1"/>
  <c r="W8" i="1"/>
  <c r="V8" i="1"/>
  <c r="T8" i="1"/>
  <c r="M8" i="1"/>
  <c r="L8" i="1"/>
  <c r="K8" i="1"/>
  <c r="J8" i="1"/>
  <c r="I8" i="1"/>
  <c r="H8" i="1"/>
  <c r="W4" i="1" l="1"/>
  <c r="V4" i="1"/>
  <c r="T4" i="1"/>
  <c r="Y17" i="1" l="1"/>
  <c r="X17" i="1"/>
  <c r="W17" i="1"/>
  <c r="V17" i="1"/>
  <c r="T17" i="1"/>
  <c r="M17" i="1"/>
  <c r="L17" i="1"/>
  <c r="K17" i="1"/>
  <c r="J17" i="1"/>
  <c r="I17" i="1"/>
  <c r="H17" i="1"/>
  <c r="AB10" i="1" l="1"/>
  <c r="AA10" i="1"/>
  <c r="Z10" i="1"/>
  <c r="Y10" i="1"/>
  <c r="X10" i="1"/>
  <c r="W10" i="1"/>
  <c r="V10" i="1"/>
  <c r="T10" i="1"/>
  <c r="M10" i="1"/>
  <c r="L10" i="1"/>
  <c r="K10" i="1"/>
  <c r="J10" i="1"/>
  <c r="I10" i="1"/>
  <c r="H10" i="1"/>
  <c r="AA16" i="1" l="1"/>
  <c r="F10" i="1"/>
  <c r="Y9" i="1" l="1"/>
  <c r="X9" i="1"/>
  <c r="W9" i="1"/>
  <c r="V9" i="1"/>
  <c r="T9" i="1"/>
  <c r="H9" i="1"/>
  <c r="Y6" i="1" l="1"/>
  <c r="X6" i="1"/>
  <c r="W6" i="1"/>
  <c r="V6" i="1"/>
  <c r="T6" i="1"/>
  <c r="M6" i="1"/>
  <c r="L6" i="1"/>
  <c r="K6" i="1"/>
  <c r="J6" i="1"/>
  <c r="I6" i="1"/>
  <c r="H6" i="1"/>
  <c r="F6" i="1" l="1"/>
  <c r="AB6" i="1" l="1"/>
  <c r="AA6" i="1"/>
  <c r="Z6" i="1"/>
  <c r="Z8" i="1" l="1"/>
  <c r="AB8" i="1" l="1"/>
  <c r="AF14" i="1" l="1"/>
  <c r="AE14" i="1"/>
  <c r="AB17" i="1" l="1"/>
  <c r="Z17" i="1"/>
  <c r="AB14" i="1" l="1"/>
  <c r="AB11" i="1" l="1"/>
  <c r="AA11" i="1"/>
  <c r="AF17" i="1" l="1"/>
  <c r="AE17" i="1"/>
  <c r="AF7" i="1" l="1"/>
  <c r="AE7" i="1"/>
  <c r="AB7" i="1"/>
  <c r="AA7" i="1"/>
  <c r="AF10" i="1" l="1"/>
  <c r="AE10" i="1"/>
  <c r="AF8" i="1" l="1"/>
  <c r="AE8" i="1"/>
  <c r="AB9" i="1" l="1"/>
  <c r="AF9" i="1"/>
  <c r="AE9" i="1"/>
  <c r="AF6" i="1" l="1"/>
  <c r="AE6" i="1"/>
  <c r="AF5" i="1" l="1"/>
  <c r="AF4" i="1" l="1"/>
  <c r="AE4" i="1"/>
  <c r="AE5" i="1"/>
  <c r="AB5" i="1"/>
  <c r="AB3" i="1" s="1"/>
  <c r="F4" i="1" l="1"/>
  <c r="Z11" i="1" l="1"/>
  <c r="G11" i="1" l="1"/>
  <c r="F11" i="1"/>
  <c r="E11" i="1"/>
  <c r="D11" i="1"/>
  <c r="Z14" i="1" l="1"/>
  <c r="G14" i="1" l="1"/>
  <c r="F14" i="1"/>
  <c r="E14" i="1"/>
  <c r="D14" i="1"/>
  <c r="Z7" i="1"/>
  <c r="G7" i="1" l="1"/>
  <c r="U7" i="1" s="1"/>
  <c r="F7" i="1"/>
  <c r="E7" i="1"/>
  <c r="D7" i="1"/>
  <c r="P7" i="1" l="1"/>
  <c r="O7" i="1"/>
  <c r="R7" i="1"/>
  <c r="N7" i="1"/>
  <c r="S7" i="1"/>
  <c r="Q7" i="1"/>
  <c r="Z9" i="1" l="1"/>
  <c r="Z5" i="1" l="1"/>
  <c r="Z3" i="1" l="1"/>
  <c r="V3" i="1" l="1"/>
  <c r="D10" i="1" l="1"/>
  <c r="E10" i="1"/>
  <c r="G10" i="1" l="1"/>
  <c r="U10" i="1" s="1"/>
  <c r="S10" i="1" l="1"/>
  <c r="R10" i="1"/>
  <c r="Q10" i="1"/>
  <c r="P10" i="1"/>
  <c r="O10" i="1"/>
  <c r="N10" i="1"/>
  <c r="F5" i="1"/>
  <c r="E5" i="1"/>
  <c r="D5" i="1"/>
  <c r="G5" i="1" l="1"/>
  <c r="F8" i="1"/>
  <c r="E8" i="1"/>
  <c r="D8" i="1"/>
  <c r="G8" i="1" l="1"/>
  <c r="U8" i="1" s="1"/>
  <c r="P8" i="1" l="1"/>
  <c r="O8" i="1"/>
  <c r="N8" i="1"/>
  <c r="S8" i="1"/>
  <c r="R8" i="1"/>
  <c r="Q8" i="1"/>
  <c r="F17" i="1"/>
  <c r="E17" i="1"/>
  <c r="D17" i="1"/>
  <c r="G17" i="1" l="1"/>
  <c r="U17" i="1" s="1"/>
  <c r="E9" i="1"/>
  <c r="E4" i="1"/>
  <c r="P17" i="1" l="1"/>
  <c r="R17" i="1"/>
  <c r="O17" i="1"/>
  <c r="N17" i="1"/>
  <c r="S17" i="1"/>
  <c r="Q17" i="1"/>
  <c r="D9" i="1"/>
  <c r="F9" i="1" l="1"/>
  <c r="G9" i="1" s="1"/>
  <c r="U9" i="1" s="1"/>
  <c r="N9" i="1" l="1"/>
  <c r="D6" i="1"/>
  <c r="E6" i="1" l="1"/>
  <c r="G6" i="1" l="1"/>
  <c r="S6" i="1" l="1"/>
  <c r="U6" i="1"/>
  <c r="P6" i="1"/>
  <c r="Q6" i="1"/>
  <c r="R6" i="1"/>
  <c r="O6" i="1"/>
  <c r="N6" i="1"/>
  <c r="D4" i="1"/>
  <c r="G4" i="1" l="1"/>
  <c r="N4" i="1" l="1"/>
  <c r="U4" i="1"/>
  <c r="U3" i="1" s="1"/>
  <c r="S4" i="1"/>
  <c r="O4" i="1"/>
  <c r="P4" i="1" l="1"/>
  <c r="Q4" i="1" l="1"/>
  <c r="R4" i="1" l="1"/>
  <c r="AA5" i="1" l="1"/>
  <c r="AA14" i="1" l="1"/>
  <c r="AA17" i="1" l="1"/>
  <c r="W3" i="1" l="1"/>
  <c r="X3" i="1" l="1"/>
  <c r="Y3" i="1" l="1"/>
  <c r="N3" i="1" l="1"/>
  <c r="AA8" i="1" l="1"/>
  <c r="J9" i="1" l="1"/>
  <c r="P9" i="1" s="1"/>
  <c r="P3" i="1" s="1"/>
  <c r="K9" i="1" l="1"/>
  <c r="Q9" i="1" s="1"/>
  <c r="Q3" i="1" s="1"/>
  <c r="I9" i="1"/>
  <c r="O9" i="1" s="1"/>
  <c r="O3" i="1" s="1"/>
  <c r="L9" i="1" l="1"/>
  <c r="R9" i="1" s="1"/>
  <c r="R3" i="1" s="1"/>
  <c r="M9" i="1" l="1"/>
  <c r="S9" i="1" s="1"/>
  <c r="S3" i="1" s="1"/>
  <c r="AA9" i="1" l="1"/>
  <c r="AA3" i="1" s="1"/>
</calcChain>
</file>

<file path=xl/sharedStrings.xml><?xml version="1.0" encoding="utf-8"?>
<sst xmlns="http://schemas.openxmlformats.org/spreadsheetml/2006/main" count="73" uniqueCount="73">
  <si>
    <t>Company</t>
  </si>
  <si>
    <t>Tesla</t>
  </si>
  <si>
    <t>Volkswagen</t>
  </si>
  <si>
    <t>BMW</t>
  </si>
  <si>
    <t>Aston Martin</t>
  </si>
  <si>
    <t>Ticker</t>
  </si>
  <si>
    <t>TSLA US</t>
  </si>
  <si>
    <t>VOW DE</t>
  </si>
  <si>
    <t>BMW DE</t>
  </si>
  <si>
    <t>AML UK</t>
  </si>
  <si>
    <t>MC</t>
  </si>
  <si>
    <t>Price</t>
  </si>
  <si>
    <t>Net Cash</t>
  </si>
  <si>
    <t>Mercedes-Benz</t>
  </si>
  <si>
    <t>EV</t>
  </si>
  <si>
    <t>2023 EV/E</t>
  </si>
  <si>
    <t>2023 E</t>
  </si>
  <si>
    <t>2024 E</t>
  </si>
  <si>
    <t>2024 EV/E</t>
  </si>
  <si>
    <t>Toyota</t>
  </si>
  <si>
    <t>Ford</t>
  </si>
  <si>
    <t>Ferrari</t>
  </si>
  <si>
    <t>Honda</t>
  </si>
  <si>
    <t>General Motors</t>
  </si>
  <si>
    <t>PACCAR</t>
  </si>
  <si>
    <t>Geely</t>
  </si>
  <si>
    <t>Hyundai</t>
  </si>
  <si>
    <t>NIO</t>
  </si>
  <si>
    <t>Subaru</t>
  </si>
  <si>
    <t>Nissan</t>
  </si>
  <si>
    <t>Renault</t>
  </si>
  <si>
    <t>7203 JP</t>
  </si>
  <si>
    <t>F US</t>
  </si>
  <si>
    <t>RACE IT</t>
  </si>
  <si>
    <t>2025 EV/E</t>
  </si>
  <si>
    <t>GM US</t>
  </si>
  <si>
    <t>Discount</t>
  </si>
  <si>
    <t>Industry Average</t>
  </si>
  <si>
    <t>7267 JP</t>
  </si>
  <si>
    <t>RNO FR</t>
  </si>
  <si>
    <t>Variance</t>
  </si>
  <si>
    <t>Consensus</t>
  </si>
  <si>
    <t>Founded</t>
  </si>
  <si>
    <t>Updated</t>
  </si>
  <si>
    <t>Earnings Call</t>
  </si>
  <si>
    <t>Kia</t>
  </si>
  <si>
    <t>2023 Rev</t>
  </si>
  <si>
    <t>2022 RevG</t>
  </si>
  <si>
    <t>2023 RevG</t>
  </si>
  <si>
    <t>2023 GM%</t>
  </si>
  <si>
    <t>2023 OM%</t>
  </si>
  <si>
    <t>2025 E</t>
  </si>
  <si>
    <t>2026 E</t>
  </si>
  <si>
    <t>2027 E</t>
  </si>
  <si>
    <t>2028 E</t>
  </si>
  <si>
    <t>2026 EV/E</t>
  </si>
  <si>
    <t>2027 EV/E</t>
  </si>
  <si>
    <t>2028 EV/E</t>
  </si>
  <si>
    <t>MBG DE</t>
  </si>
  <si>
    <t>BYD</t>
  </si>
  <si>
    <t>Daimler Trucks</t>
  </si>
  <si>
    <t>DTG DE</t>
  </si>
  <si>
    <t>Rivian</t>
  </si>
  <si>
    <t>RIVN US</t>
  </si>
  <si>
    <t>Volvo</t>
  </si>
  <si>
    <t>Stellantis</t>
  </si>
  <si>
    <t>STLA IT</t>
  </si>
  <si>
    <t>2014*</t>
  </si>
  <si>
    <t>Porsche</t>
  </si>
  <si>
    <t>P911 DE</t>
  </si>
  <si>
    <t>Lucid</t>
  </si>
  <si>
    <t>LCID US</t>
  </si>
  <si>
    <t>2023 EV/R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</si>
</sst>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\x"/>
    <numFmt numFmtId="165" formatCode="[$$-409]#,##0"/>
    <numFmt numFmtId="166" formatCode="[$£-809]#,##0"/>
    <numFmt numFmtId="167" formatCode="[$$-409]#,##0.00"/>
    <numFmt numFmtId="168" formatCode="#,##0.00\ [$€-1]"/>
    <numFmt numFmtId="169" formatCode="&quot;£&quot;#,##0.00"/>
    <numFmt numFmtId="170" formatCode="#,##0\ [$€-1]"/>
    <numFmt numFmtId="171" formatCode="#,##0.00\ [$€-484]"/>
    <numFmt numFmtId="172" formatCode="#,##0.00\ [$€-407]"/>
    <numFmt numFmtId="173" formatCode="#,##0\ [$€-407]"/>
    <numFmt numFmtId="174" formatCode="0.0\x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164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7" fillId="2" borderId="1" xfId="1" applyFont="1" applyFill="1" applyBorder="1"/>
    <xf numFmtId="167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68" fontId="4" fillId="2" borderId="1" xfId="0" applyNumberFormat="1" applyFont="1" applyFill="1" applyBorder="1" applyAlignment="1">
      <alignment horizontal="center"/>
    </xf>
    <xf numFmtId="170" fontId="4" fillId="2" borderId="1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0" fontId="1" fillId="2" borderId="1" xfId="1" applyFill="1" applyBorder="1"/>
    <xf numFmtId="171" fontId="4" fillId="2" borderId="1" xfId="0" applyNumberFormat="1" applyFont="1" applyFill="1" applyBorder="1" applyAlignment="1">
      <alignment horizontal="center"/>
    </xf>
    <xf numFmtId="0" fontId="8" fillId="2" borderId="1" xfId="1" applyFont="1" applyFill="1" applyBorder="1"/>
    <xf numFmtId="172" fontId="4" fillId="2" borderId="1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center"/>
    </xf>
    <xf numFmtId="0" fontId="1" fillId="3" borderId="1" xfId="1" applyFill="1" applyBorder="1"/>
    <xf numFmtId="174" fontId="4" fillId="2" borderId="1" xfId="0" applyNumberFormat="1" applyFont="1" applyFill="1" applyBorder="1" applyAlignment="1">
      <alignment horizontal="center"/>
    </xf>
    <xf numFmtId="174" fontId="3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SLA.xlsx" TargetMode="External"/><Relationship Id="rId1" Type="http://schemas.openxmlformats.org/officeDocument/2006/relationships/externalLinkPath" Target="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STLA.xlsx" TargetMode="External"/><Relationship Id="rId1" Type="http://schemas.openxmlformats.org/officeDocument/2006/relationships/externalLinkPath" Target="STL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ACE.xlsx" TargetMode="External"/><Relationship Id="rId1" Type="http://schemas.openxmlformats.org/officeDocument/2006/relationships/externalLinkPath" Target="RAC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IVN.xlsx" TargetMode="External"/><Relationship Id="rId1" Type="http://schemas.openxmlformats.org/officeDocument/2006/relationships/externalLinkPath" Target="RIVN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CID.xlsx" TargetMode="External"/><Relationship Id="rId1" Type="http://schemas.openxmlformats.org/officeDocument/2006/relationships/externalLinkPath" Target="LCID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ML.xlsx" TargetMode="External"/><Relationship Id="rId1" Type="http://schemas.openxmlformats.org/officeDocument/2006/relationships/externalLinkPath" Target="AM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TM.xlsx" TargetMode="External"/><Relationship Id="rId1" Type="http://schemas.openxmlformats.org/officeDocument/2006/relationships/externalLinkPath" Target="T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VOW.xlsx" TargetMode="External"/><Relationship Id="rId1" Type="http://schemas.openxmlformats.org/officeDocument/2006/relationships/externalLinkPath" Target="VOW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M.xlsx" TargetMode="External"/><Relationship Id="rId1" Type="http://schemas.openxmlformats.org/officeDocument/2006/relationships/externalLinkPath" Target="G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F.xlsx" TargetMode="External"/><Relationship Id="rId1" Type="http://schemas.openxmlformats.org/officeDocument/2006/relationships/externalLinkPath" Target="F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DAI.xlsx" TargetMode="External"/><Relationship Id="rId1" Type="http://schemas.openxmlformats.org/officeDocument/2006/relationships/externalLinkPath" Target="DAI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MW.xlsx" TargetMode="External"/><Relationship Id="rId1" Type="http://schemas.openxmlformats.org/officeDocument/2006/relationships/externalLinkPath" Target="BM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267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P911.xlsx" TargetMode="External"/><Relationship Id="rId1" Type="http://schemas.openxmlformats.org/officeDocument/2006/relationships/externalLinkPath" Target="P9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256.58999999999997</v>
          </cell>
          <cell r="E3">
            <v>45770</v>
          </cell>
          <cell r="G3">
            <v>45867</v>
          </cell>
        </row>
        <row r="5">
          <cell r="D5">
            <v>826476.3899999999</v>
          </cell>
        </row>
        <row r="8">
          <cell r="D8">
            <v>29467</v>
          </cell>
        </row>
      </sheetData>
      <sheetData sheetId="1">
        <row r="9">
          <cell r="AQ9">
            <v>24578</v>
          </cell>
        </row>
        <row r="27">
          <cell r="AU27">
            <v>14997</v>
          </cell>
          <cell r="AV27">
            <v>7091</v>
          </cell>
          <cell r="AW27">
            <v>4527.4714350000158</v>
          </cell>
          <cell r="AX27">
            <v>7975.9653982800055</v>
          </cell>
          <cell r="AY27">
            <v>8710.7820470256011</v>
          </cell>
          <cell r="AZ27">
            <v>9948.3296597538665</v>
          </cell>
        </row>
        <row r="31">
          <cell r="BJ31">
            <v>0.05</v>
          </cell>
        </row>
        <row r="36">
          <cell r="AP36">
            <v>0.82516435758086049</v>
          </cell>
          <cell r="AQ36">
            <v>0.14528823258046342</v>
          </cell>
        </row>
        <row r="37">
          <cell r="BJ37">
            <v>-0.62575831274388716</v>
          </cell>
        </row>
        <row r="38">
          <cell r="BJ38" t="str">
            <v>Heavily overvalued</v>
          </cell>
        </row>
        <row r="42">
          <cell r="AU42">
            <v>0.18248891736331416</v>
          </cell>
        </row>
        <row r="45">
          <cell r="AU45">
            <v>9.1874799789197395E-2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8</v>
          </cell>
          <cell r="E3">
            <v>45771</v>
          </cell>
          <cell r="G3">
            <v>45777</v>
          </cell>
        </row>
        <row r="5">
          <cell r="D5">
            <v>30100.799999999999</v>
          </cell>
        </row>
        <row r="8">
          <cell r="D8">
            <v>-3127</v>
          </cell>
        </row>
        <row r="9">
          <cell r="D9">
            <v>33227.800000000003</v>
          </cell>
        </row>
      </sheetData>
      <sheetData sheetId="1">
        <row r="3">
          <cell r="Q3">
            <v>189544</v>
          </cell>
        </row>
        <row r="17">
          <cell r="Q17">
            <v>18596</v>
          </cell>
          <cell r="R17">
            <v>5473</v>
          </cell>
          <cell r="S17">
            <v>-121.04400000000184</v>
          </cell>
          <cell r="T17">
            <v>2322.7907304000009</v>
          </cell>
          <cell r="U17">
            <v>4719.6040671360006</v>
          </cell>
          <cell r="V17">
            <v>5964.6729261672017</v>
          </cell>
        </row>
        <row r="21">
          <cell r="Q21">
            <v>5.5414495077731774E-2</v>
          </cell>
        </row>
        <row r="22">
          <cell r="Q22">
            <v>0.20124087283163802</v>
          </cell>
        </row>
        <row r="24">
          <cell r="AF24">
            <v>0.08</v>
          </cell>
        </row>
        <row r="25">
          <cell r="Q25">
            <v>0.11805174524121048</v>
          </cell>
        </row>
        <row r="30">
          <cell r="AF30">
            <v>1.3973121928006629</v>
          </cell>
        </row>
        <row r="31">
          <cell r="AF31" t="str">
            <v>Heavily undervalued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163.80000000000001</v>
          </cell>
          <cell r="E3">
            <v>44257</v>
          </cell>
          <cell r="G3">
            <v>44320</v>
          </cell>
        </row>
        <row r="5">
          <cell r="D5">
            <v>31760.820000000003</v>
          </cell>
        </row>
        <row r="8">
          <cell r="D8">
            <v>5460.6</v>
          </cell>
        </row>
        <row r="9">
          <cell r="D9">
            <v>26300.22</v>
          </cell>
        </row>
      </sheetData>
      <sheetData sheetId="1">
        <row r="23">
          <cell r="AI23">
            <v>0.06</v>
          </cell>
        </row>
        <row r="29">
          <cell r="AI29">
            <v>-0.19255438000847924</v>
          </cell>
        </row>
        <row r="30">
          <cell r="AI30" t="str">
            <v>Slightly overvalued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11.96</v>
          </cell>
          <cell r="E3">
            <v>45713</v>
          </cell>
          <cell r="G3">
            <v>45790</v>
          </cell>
        </row>
        <row r="5">
          <cell r="D5">
            <v>12653.68</v>
          </cell>
        </row>
        <row r="8">
          <cell r="D8">
            <v>3259</v>
          </cell>
        </row>
        <row r="9">
          <cell r="D9">
            <v>9394.68</v>
          </cell>
        </row>
      </sheetData>
      <sheetData sheetId="1">
        <row r="5">
          <cell r="X5">
            <v>4434</v>
          </cell>
        </row>
        <row r="21">
          <cell r="X21">
            <v>-5432</v>
          </cell>
          <cell r="Y21">
            <v>-4747</v>
          </cell>
          <cell r="Z21">
            <v>-2737.1781026800018</v>
          </cell>
          <cell r="AA21">
            <v>-2431.7268265104008</v>
          </cell>
          <cell r="AB21">
            <v>-2099.6875420206088</v>
          </cell>
          <cell r="AC21">
            <v>-1692.1326230002155</v>
          </cell>
        </row>
        <row r="25">
          <cell r="W25">
            <v>29.145454545454545</v>
          </cell>
          <cell r="X25">
            <v>1.6743063932448732</v>
          </cell>
        </row>
        <row r="26">
          <cell r="X26">
            <v>-0.45782589084348219</v>
          </cell>
          <cell r="Y26">
            <v>-0.2414486921529175</v>
          </cell>
        </row>
        <row r="27">
          <cell r="AN27">
            <v>0.09</v>
          </cell>
        </row>
        <row r="34">
          <cell r="AN34" t="str">
            <v>Heavily overvalued</v>
          </cell>
        </row>
        <row r="78">
          <cell r="AN78">
            <v>-1.0978041506643392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2.46</v>
          </cell>
          <cell r="E3">
            <v>45771</v>
          </cell>
          <cell r="G3">
            <v>45783</v>
          </cell>
        </row>
        <row r="5">
          <cell r="D5">
            <v>7457.49</v>
          </cell>
        </row>
        <row r="8">
          <cell r="D8">
            <v>2028.8</v>
          </cell>
        </row>
        <row r="9">
          <cell r="D9">
            <v>5428.69</v>
          </cell>
        </row>
      </sheetData>
      <sheetData sheetId="1">
        <row r="3">
          <cell r="AB3">
            <v>595.29999999999995</v>
          </cell>
        </row>
        <row r="14">
          <cell r="AB14">
            <v>-2828.3</v>
          </cell>
          <cell r="AC14">
            <v>-2714.0000000000005</v>
          </cell>
          <cell r="AD14">
            <v>-2534.33</v>
          </cell>
          <cell r="AE14">
            <v>-2333.4748500000001</v>
          </cell>
          <cell r="AF14">
            <v>-1943.7248985000001</v>
          </cell>
          <cell r="AG14">
            <v>-1535.5301804850001</v>
          </cell>
        </row>
        <row r="18">
          <cell r="AA18">
            <v>21.44280442804428</v>
          </cell>
          <cell r="AB18">
            <v>-2.1210128247287185E-2</v>
          </cell>
        </row>
        <row r="19">
          <cell r="AB19">
            <v>-2.2523097597849824</v>
          </cell>
        </row>
        <row r="20">
          <cell r="AQ20">
            <v>0.1</v>
          </cell>
        </row>
        <row r="22">
          <cell r="AB22">
            <v>-5.2066185116747858</v>
          </cell>
        </row>
        <row r="26">
          <cell r="AQ26">
            <v>-1.7560259481433871</v>
          </cell>
        </row>
        <row r="27">
          <cell r="AQ27" t="str">
            <v>Heavily overvalued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1.0980000000000001</v>
          </cell>
          <cell r="E3">
            <v>45635</v>
          </cell>
          <cell r="G3">
            <v>45715</v>
          </cell>
        </row>
        <row r="5">
          <cell r="D5">
            <v>905.85</v>
          </cell>
        </row>
        <row r="8">
          <cell r="D8">
            <v>-974.2</v>
          </cell>
        </row>
      </sheetData>
      <sheetData sheetId="1">
        <row r="3">
          <cell r="AH3">
            <v>1632.8</v>
          </cell>
        </row>
        <row r="15">
          <cell r="AH15">
            <v>-228.10000000000014</v>
          </cell>
          <cell r="AI15">
            <v>-239.64460000000003</v>
          </cell>
          <cell r="AJ15">
            <v>-137.36318280000003</v>
          </cell>
          <cell r="AK15">
            <v>-45.433853162400069</v>
          </cell>
          <cell r="AL15">
            <v>28.41758343130066</v>
          </cell>
          <cell r="AM15">
            <v>79.191899431941238</v>
          </cell>
        </row>
        <row r="19">
          <cell r="AG19">
            <v>0.26129827444535758</v>
          </cell>
          <cell r="AH19">
            <v>0.18190372783206654</v>
          </cell>
          <cell r="AW19">
            <v>0.08</v>
          </cell>
        </row>
        <row r="20">
          <cell r="AH20">
            <v>0.3914747672709456</v>
          </cell>
        </row>
        <row r="21">
          <cell r="AH21">
            <v>-6.8103870651641418E-2</v>
          </cell>
        </row>
        <row r="25">
          <cell r="AW25">
            <v>-0.45006922200548305</v>
          </cell>
        </row>
        <row r="26">
          <cell r="AW26" t="str">
            <v>Overvalued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Currency"/>
    </sheetNames>
    <sheetDataSet>
      <sheetData sheetId="0">
        <row r="3">
          <cell r="D3">
            <v>147.97</v>
          </cell>
          <cell r="E3">
            <v>44256</v>
          </cell>
          <cell r="G3">
            <v>44328</v>
          </cell>
        </row>
        <row r="5">
          <cell r="D5">
            <v>206714.09</v>
          </cell>
        </row>
        <row r="10">
          <cell r="D10">
            <v>-146463.68690602612</v>
          </cell>
        </row>
      </sheetData>
      <sheetData sheetId="1">
        <row r="24">
          <cell r="AB24">
            <v>0.05</v>
          </cell>
        </row>
        <row r="30">
          <cell r="AB30">
            <v>0.19392279537411672</v>
          </cell>
        </row>
        <row r="31">
          <cell r="AB31" t="str">
            <v>Slightly undervalued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98.4</v>
          </cell>
          <cell r="E3">
            <v>45782</v>
          </cell>
          <cell r="G3">
            <v>45863</v>
          </cell>
        </row>
        <row r="5">
          <cell r="D5">
            <v>49327.920000000006</v>
          </cell>
        </row>
        <row r="8">
          <cell r="D8">
            <v>-187383</v>
          </cell>
        </row>
      </sheetData>
      <sheetData sheetId="1">
        <row r="3">
          <cell r="AO3">
            <v>322284</v>
          </cell>
        </row>
        <row r="14">
          <cell r="AO14">
            <v>16013</v>
          </cell>
          <cell r="AP14">
            <v>10721</v>
          </cell>
          <cell r="AQ14">
            <v>11092.382387500042</v>
          </cell>
          <cell r="AR14">
            <v>13656.542687899993</v>
          </cell>
          <cell r="AS14">
            <v>13793.108114778999</v>
          </cell>
          <cell r="AT14">
            <v>13931.039195926793</v>
          </cell>
        </row>
        <row r="18">
          <cell r="AO18">
            <v>0.18934231919673331</v>
          </cell>
        </row>
        <row r="19">
          <cell r="AO19">
            <v>7.0050017996549627E-2</v>
          </cell>
        </row>
        <row r="22">
          <cell r="BD22">
            <v>0.06</v>
          </cell>
        </row>
        <row r="23">
          <cell r="AN23">
            <v>0.11603517186250989</v>
          </cell>
          <cell r="AO23">
            <v>0.15418003667201474</v>
          </cell>
        </row>
        <row r="28">
          <cell r="BD28">
            <v>-0.33083021401817747</v>
          </cell>
        </row>
        <row r="29">
          <cell r="BD29" t="str">
            <v>Overvalued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45.63</v>
          </cell>
          <cell r="E3">
            <v>45782</v>
          </cell>
          <cell r="G3">
            <v>45860</v>
          </cell>
        </row>
        <row r="5">
          <cell r="D5">
            <v>43868.682000000001</v>
          </cell>
        </row>
        <row r="8">
          <cell r="D8">
            <v>-105189</v>
          </cell>
        </row>
        <row r="9">
          <cell r="D9">
            <v>149057.682</v>
          </cell>
        </row>
      </sheetData>
      <sheetData sheetId="1">
        <row r="3">
          <cell r="AO3">
            <v>171842</v>
          </cell>
        </row>
        <row r="16">
          <cell r="AO16">
            <v>10128</v>
          </cell>
          <cell r="AP16">
            <v>6009</v>
          </cell>
          <cell r="AQ16">
            <v>10270.633839999999</v>
          </cell>
          <cell r="AR16">
            <v>10558.670929120002</v>
          </cell>
          <cell r="AS16">
            <v>10828.330555136961</v>
          </cell>
          <cell r="AT16">
            <v>11083.806976747897</v>
          </cell>
        </row>
        <row r="20">
          <cell r="AO20">
            <v>0.17755845485969671</v>
          </cell>
        </row>
        <row r="21">
          <cell r="AO21">
            <v>5.4107843251358805E-2</v>
          </cell>
        </row>
        <row r="23">
          <cell r="AN23">
            <v>0.23409498913420057</v>
          </cell>
          <cell r="AO23">
            <v>9.63856190385044E-2</v>
          </cell>
        </row>
        <row r="25">
          <cell r="BD25">
            <v>7.0000000000000007E-2</v>
          </cell>
        </row>
        <row r="31">
          <cell r="BD31">
            <v>-7.1310548587337763E-3</v>
          </cell>
        </row>
        <row r="32">
          <cell r="BD32" t="str">
            <v>Fairly valued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9.77</v>
          </cell>
          <cell r="E3">
            <v>45771</v>
          </cell>
          <cell r="G3">
            <v>45782</v>
          </cell>
        </row>
        <row r="5">
          <cell r="D5">
            <v>38723.394999999997</v>
          </cell>
        </row>
        <row r="8">
          <cell r="D8">
            <v>-109060</v>
          </cell>
        </row>
      </sheetData>
      <sheetData sheetId="1">
        <row r="3">
          <cell r="AO3">
            <v>176191</v>
          </cell>
        </row>
        <row r="13">
          <cell r="AO13">
            <v>4347</v>
          </cell>
          <cell r="AP13">
            <v>5879</v>
          </cell>
          <cell r="AQ13">
            <v>6741.3520640000006</v>
          </cell>
          <cell r="AR13">
            <v>7500.3985802800016</v>
          </cell>
          <cell r="AS13">
            <v>7575.4783179578044</v>
          </cell>
          <cell r="AT13">
            <v>7651.3092317717565</v>
          </cell>
        </row>
        <row r="17">
          <cell r="AO17">
            <v>0.14552956734452951</v>
          </cell>
        </row>
        <row r="18">
          <cell r="AO18">
            <v>3.0977745741836985E-2</v>
          </cell>
        </row>
        <row r="20">
          <cell r="BD20">
            <v>0.06</v>
          </cell>
        </row>
        <row r="21">
          <cell r="AN21">
            <v>0.15927710666637318</v>
          </cell>
          <cell r="AO21">
            <v>0.1147307616872395</v>
          </cell>
        </row>
        <row r="26">
          <cell r="BD26">
            <v>-0.93051516092840769</v>
          </cell>
        </row>
        <row r="27">
          <cell r="BD27" t="str">
            <v>Heavily overvalued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53.31</v>
          </cell>
          <cell r="E3">
            <v>45771</v>
          </cell>
          <cell r="G3">
            <v>45777</v>
          </cell>
        </row>
        <row r="5">
          <cell r="D5">
            <v>54035.016000000003</v>
          </cell>
        </row>
      </sheetData>
      <sheetData sheetId="1">
        <row r="3">
          <cell r="AO3">
            <v>153218</v>
          </cell>
        </row>
        <row r="20">
          <cell r="AO20">
            <v>14261</v>
          </cell>
          <cell r="AP20">
            <v>10207</v>
          </cell>
          <cell r="AQ20">
            <v>11285.477327999997</v>
          </cell>
          <cell r="AR20">
            <v>11271.009509279995</v>
          </cell>
          <cell r="AS20">
            <v>11314.895253652796</v>
          </cell>
          <cell r="AT20">
            <v>11357.547096230926</v>
          </cell>
        </row>
        <row r="24">
          <cell r="AN24">
            <v>0.12042451808533672</v>
          </cell>
          <cell r="AO24">
            <v>2.1337581740735967E-2</v>
          </cell>
        </row>
        <row r="25">
          <cell r="AO25">
            <v>0.22437964207860694</v>
          </cell>
        </row>
        <row r="26">
          <cell r="AO26">
            <v>0.1283139056768787</v>
          </cell>
        </row>
        <row r="27">
          <cell r="BD27">
            <v>0.08</v>
          </cell>
        </row>
        <row r="29">
          <cell r="BD29">
            <v>-91201</v>
          </cell>
        </row>
        <row r="33">
          <cell r="BD33">
            <v>-0.13237746470634748</v>
          </cell>
        </row>
        <row r="34">
          <cell r="BD34" t="str">
            <v>Slightly overvalued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73.680000000000007</v>
          </cell>
          <cell r="E3">
            <v>45771</v>
          </cell>
          <cell r="G3">
            <v>45784</v>
          </cell>
        </row>
        <row r="5">
          <cell r="D5">
            <v>45843.695999999996</v>
          </cell>
        </row>
        <row r="8">
          <cell r="D8">
            <v>-91974</v>
          </cell>
        </row>
      </sheetData>
      <sheetData sheetId="1">
        <row r="3">
          <cell r="AO3">
            <v>155498</v>
          </cell>
        </row>
        <row r="14">
          <cell r="AO14">
            <v>11290</v>
          </cell>
          <cell r="AP14">
            <v>7290</v>
          </cell>
          <cell r="AQ14">
            <v>7978.5110799999984</v>
          </cell>
          <cell r="AR14">
            <v>8996.7216356640001</v>
          </cell>
          <cell r="AS14">
            <v>9363.1411170839237</v>
          </cell>
          <cell r="AT14">
            <v>9546.9610448283565</v>
          </cell>
        </row>
        <row r="18">
          <cell r="AN18">
            <v>0.28201440142396095</v>
          </cell>
          <cell r="AO18">
            <v>9.0372344155388751E-2</v>
          </cell>
        </row>
        <row r="19">
          <cell r="AO19">
            <v>0.19092850068811174</v>
          </cell>
        </row>
        <row r="20">
          <cell r="AO20">
            <v>0.1188568341715006</v>
          </cell>
        </row>
        <row r="21">
          <cell r="BD21">
            <v>0.08</v>
          </cell>
        </row>
        <row r="27">
          <cell r="BD27">
            <v>-0.51311441678656355</v>
          </cell>
        </row>
        <row r="28">
          <cell r="BD28" t="str">
            <v>Heavily overvalued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Currency"/>
    </sheetNames>
    <sheetDataSet>
      <sheetData sheetId="0">
        <row r="3">
          <cell r="D3">
            <v>25.53</v>
          </cell>
        </row>
        <row r="5">
          <cell r="D5">
            <v>44080.097999999998</v>
          </cell>
        </row>
        <row r="10">
          <cell r="D10">
            <v>-47632.850505777977</v>
          </cell>
        </row>
        <row r="11">
          <cell r="D11">
            <v>91712.948505777982</v>
          </cell>
        </row>
      </sheetData>
      <sheetData sheetId="1">
        <row r="23">
          <cell r="R23">
            <v>0.06</v>
          </cell>
        </row>
        <row r="29">
          <cell r="R29">
            <v>0.20695593367719556</v>
          </cell>
        </row>
        <row r="30">
          <cell r="R30" t="str">
            <v>Slightly undervalued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46.72</v>
          </cell>
          <cell r="E3">
            <v>45771</v>
          </cell>
          <cell r="G3">
            <v>45776</v>
          </cell>
        </row>
        <row r="5">
          <cell r="D5">
            <v>42561.919999999998</v>
          </cell>
        </row>
        <row r="8">
          <cell r="D8">
            <v>-5029</v>
          </cell>
        </row>
        <row r="9">
          <cell r="D9">
            <v>47590.92</v>
          </cell>
        </row>
      </sheetData>
      <sheetData sheetId="1">
        <row r="3">
          <cell r="N3">
            <v>40530</v>
          </cell>
        </row>
        <row r="19">
          <cell r="N19">
            <v>5156</v>
          </cell>
          <cell r="O19">
            <v>3596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M.xlsx" TargetMode="External"/><Relationship Id="rId13" Type="http://schemas.openxmlformats.org/officeDocument/2006/relationships/hyperlink" Target="STLA.xlsx" TargetMode="External"/><Relationship Id="rId3" Type="http://schemas.openxmlformats.org/officeDocument/2006/relationships/hyperlink" Target="DAI.xlsx" TargetMode="External"/><Relationship Id="rId7" Type="http://schemas.openxmlformats.org/officeDocument/2006/relationships/hyperlink" Target="BMW.xlsx" TargetMode="External"/><Relationship Id="rId12" Type="http://schemas.openxmlformats.org/officeDocument/2006/relationships/hyperlink" Target="RIVN.xlsx" TargetMode="External"/><Relationship Id="rId2" Type="http://schemas.openxmlformats.org/officeDocument/2006/relationships/hyperlink" Target="VOW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Relationship Id="rId6" Type="http://schemas.openxmlformats.org/officeDocument/2006/relationships/hyperlink" Target="F.xlsx" TargetMode="External"/><Relationship Id="rId11" Type="http://schemas.openxmlformats.org/officeDocument/2006/relationships/hyperlink" Target="DTG.xlsx" TargetMode="External"/><Relationship Id="rId5" Type="http://schemas.openxmlformats.org/officeDocument/2006/relationships/hyperlink" Target="TM.xlsx" TargetMode="External"/><Relationship Id="rId15" Type="http://schemas.openxmlformats.org/officeDocument/2006/relationships/hyperlink" Target="LCID.xlsx" TargetMode="External"/><Relationship Id="rId10" Type="http://schemas.openxmlformats.org/officeDocument/2006/relationships/hyperlink" Target="7267.xlsx" TargetMode="External"/><Relationship Id="rId4" Type="http://schemas.openxmlformats.org/officeDocument/2006/relationships/hyperlink" Target="AML.xlsx" TargetMode="External"/><Relationship Id="rId9" Type="http://schemas.openxmlformats.org/officeDocument/2006/relationships/hyperlink" Target="RACE.xlsx" TargetMode="External"/><Relationship Id="rId14" Type="http://schemas.openxmlformats.org/officeDocument/2006/relationships/hyperlink" Target="P91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B80D-B75F-4E09-8164-CA6226650D59}">
  <sheetPr codeName="Sheet1"/>
  <dimension ref="B1:AF28"/>
  <sheetViews>
    <sheetView tabSelected="1"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RowHeight="14.4" x14ac:dyDescent="0.3"/>
  <cols>
    <col min="1" max="1" width="8.88671875" style="2"/>
    <col min="2" max="2" width="15.44140625" style="2" bestFit="1" customWidth="1"/>
    <col min="3" max="4" width="9.33203125" style="15" customWidth="1"/>
    <col min="5" max="7" width="9.33203125" style="11" customWidth="1"/>
    <col min="8" max="13" width="6.44140625" style="11" customWidth="1"/>
    <col min="14" max="19" width="9.6640625" style="11" customWidth="1"/>
    <col min="20" max="20" width="11" style="11" bestFit="1" customWidth="1"/>
    <col min="21" max="21" width="11" style="11" customWidth="1"/>
    <col min="22" max="23" width="9.6640625" style="11" customWidth="1"/>
    <col min="24" max="25" width="9.6640625" style="14" customWidth="1"/>
    <col min="26" max="26" width="8.33203125" style="14" bestFit="1" customWidth="1"/>
    <col min="27" max="27" width="8.33203125" style="14" customWidth="1"/>
    <col min="28" max="28" width="18.44140625" style="14" bestFit="1" customWidth="1"/>
    <col min="29" max="29" width="9.33203125" style="15" customWidth="1"/>
    <col min="30" max="30" width="9.33203125" style="2" customWidth="1"/>
    <col min="31" max="31" width="10.5546875" style="15" bestFit="1" customWidth="1"/>
    <col min="32" max="32" width="11.5546875" style="15" bestFit="1" customWidth="1"/>
    <col min="33" max="34" width="9.33203125" style="2" customWidth="1"/>
    <col min="35" max="16384" width="8.88671875" style="2"/>
  </cols>
  <sheetData>
    <row r="1" spans="2:32" x14ac:dyDescent="0.3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E1" s="2"/>
      <c r="AF1" s="2"/>
    </row>
    <row r="2" spans="2:32" x14ac:dyDescent="0.3">
      <c r="B2" s="3" t="s">
        <v>0</v>
      </c>
      <c r="C2" s="4" t="s">
        <v>5</v>
      </c>
      <c r="D2" s="4" t="s">
        <v>11</v>
      </c>
      <c r="E2" s="4" t="s">
        <v>10</v>
      </c>
      <c r="F2" s="4" t="s">
        <v>12</v>
      </c>
      <c r="G2" s="4" t="s">
        <v>14</v>
      </c>
      <c r="H2" s="4" t="s">
        <v>16</v>
      </c>
      <c r="I2" s="4" t="s">
        <v>17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15</v>
      </c>
      <c r="O2" s="4" t="s">
        <v>18</v>
      </c>
      <c r="P2" s="4" t="s">
        <v>34</v>
      </c>
      <c r="Q2" s="4" t="s">
        <v>55</v>
      </c>
      <c r="R2" s="4" t="s">
        <v>56</v>
      </c>
      <c r="S2" s="4" t="s">
        <v>57</v>
      </c>
      <c r="T2" s="4" t="s">
        <v>46</v>
      </c>
      <c r="U2" s="4" t="s">
        <v>72</v>
      </c>
      <c r="V2" s="4" t="s">
        <v>47</v>
      </c>
      <c r="W2" s="4" t="s">
        <v>48</v>
      </c>
      <c r="X2" s="4" t="s">
        <v>49</v>
      </c>
      <c r="Y2" s="4" t="s">
        <v>50</v>
      </c>
      <c r="Z2" s="4" t="s">
        <v>36</v>
      </c>
      <c r="AA2" s="4" t="s">
        <v>40</v>
      </c>
      <c r="AB2" s="4" t="s">
        <v>41</v>
      </c>
      <c r="AC2" s="4" t="s">
        <v>42</v>
      </c>
      <c r="AE2" s="4" t="s">
        <v>43</v>
      </c>
      <c r="AF2" s="4" t="s">
        <v>44</v>
      </c>
    </row>
    <row r="3" spans="2:32" x14ac:dyDescent="0.3">
      <c r="B3" s="5" t="s">
        <v>37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>
        <f t="shared" ref="N3:U3" si="0">TRIMMEAN(N4:N1048576,80%)</f>
        <v>12.369528111804408</v>
      </c>
      <c r="O3" s="6">
        <f t="shared" si="0"/>
        <v>18.404425571240498</v>
      </c>
      <c r="P3" s="6">
        <f t="shared" si="0"/>
        <v>15.893304142149864</v>
      </c>
      <c r="Q3" s="6">
        <f t="shared" si="0"/>
        <v>14.811888645755193</v>
      </c>
      <c r="R3" s="6">
        <f t="shared" si="0"/>
        <v>15.940354557707543</v>
      </c>
      <c r="S3" s="6">
        <f t="shared" si="0"/>
        <v>15.713692866564791</v>
      </c>
      <c r="T3" s="4"/>
      <c r="U3" s="28">
        <f t="shared" si="0"/>
        <v>0.99521007588381571</v>
      </c>
      <c r="V3" s="7">
        <f t="shared" ref="V3:AA3" si="1">TRIMMEAN(V4:V1048576,80%)</f>
        <v>0.25913588833450635</v>
      </c>
      <c r="W3" s="7">
        <f t="shared" si="1"/>
        <v>0.10555819036287195</v>
      </c>
      <c r="X3" s="7">
        <f t="shared" si="1"/>
        <v>0.18591561828002373</v>
      </c>
      <c r="Y3" s="7">
        <f t="shared" si="1"/>
        <v>6.2078930623954212E-2</v>
      </c>
      <c r="Z3" s="7">
        <f t="shared" si="1"/>
        <v>6.9999999999999993E-2</v>
      </c>
      <c r="AA3" s="7">
        <f t="shared" si="1"/>
        <v>-0.32448460534404661</v>
      </c>
      <c r="AB3" s="8" t="e">
        <f>INDEX(AB4:AB17,MODE(MATCH(AB4:AB17,AB4:AB17,0)))</f>
        <v>#N/A</v>
      </c>
      <c r="AC3" s="2"/>
      <c r="AE3" s="2"/>
      <c r="AF3" s="2"/>
    </row>
    <row r="4" spans="2:32" x14ac:dyDescent="0.3">
      <c r="B4" s="21" t="s">
        <v>1</v>
      </c>
      <c r="C4" s="15" t="s">
        <v>6</v>
      </c>
      <c r="D4" s="10">
        <f>[1]Main!$D$3</f>
        <v>256.58999999999997</v>
      </c>
      <c r="E4" s="11">
        <f>[1]Main!$D$5</f>
        <v>826476.3899999999</v>
      </c>
      <c r="F4" s="11">
        <f>[1]Main!$D$8</f>
        <v>29467</v>
      </c>
      <c r="G4" s="11">
        <f>E4-F4</f>
        <v>797009.3899999999</v>
      </c>
      <c r="H4" s="11">
        <f>[1]Model!AU$27</f>
        <v>14997</v>
      </c>
      <c r="I4" s="11">
        <f>[1]Model!AV$27</f>
        <v>7091</v>
      </c>
      <c r="J4" s="11">
        <f>[1]Model!AW$27</f>
        <v>4527.4714350000158</v>
      </c>
      <c r="K4" s="11">
        <f>[1]Model!AX$27</f>
        <v>7975.9653982800055</v>
      </c>
      <c r="L4" s="11">
        <f>[1]Model!AY$27</f>
        <v>8710.7820470256011</v>
      </c>
      <c r="M4" s="11">
        <f>[1]Model!AZ$27</f>
        <v>9948.3296597538665</v>
      </c>
      <c r="N4" s="12">
        <f t="shared" ref="N4:S4" si="2">$G4/H4</f>
        <v>53.144588250983524</v>
      </c>
      <c r="O4" s="12">
        <f t="shared" si="2"/>
        <v>112.39731913693413</v>
      </c>
      <c r="P4" s="12">
        <f t="shared" si="2"/>
        <v>176.03852424968355</v>
      </c>
      <c r="Q4" s="12">
        <f t="shared" si="2"/>
        <v>99.926385108424967</v>
      </c>
      <c r="R4" s="12">
        <f t="shared" si="2"/>
        <v>91.496881186706787</v>
      </c>
      <c r="S4" s="12">
        <f t="shared" si="2"/>
        <v>80.114895390360317</v>
      </c>
      <c r="T4" s="13">
        <f>[1]Model!$AQ$9</f>
        <v>24578</v>
      </c>
      <c r="U4" s="27">
        <f>G4/T4</f>
        <v>32.42775612336235</v>
      </c>
      <c r="V4" s="14">
        <f>[1]Model!$AP$36</f>
        <v>0.82516435758086049</v>
      </c>
      <c r="W4" s="14">
        <f>[1]Model!$AQ$36</f>
        <v>0.14528823258046342</v>
      </c>
      <c r="X4" s="14">
        <f>[1]Model!$AU$42</f>
        <v>0.18248891736331416</v>
      </c>
      <c r="Y4" s="14">
        <f>[1]Model!$AU$45</f>
        <v>9.1874799789197395E-2</v>
      </c>
      <c r="Z4" s="14">
        <f>[1]Model!$BJ$31</f>
        <v>0.05</v>
      </c>
      <c r="AA4" s="14">
        <f>[1]Model!$BJ$37</f>
        <v>-0.62575831274388716</v>
      </c>
      <c r="AB4" s="14" t="str">
        <f>[1]Model!$BJ$38</f>
        <v>Heavily overvalued</v>
      </c>
      <c r="AC4" s="15">
        <v>2003</v>
      </c>
      <c r="AE4" s="16">
        <f>[1]Main!$E$3</f>
        <v>45770</v>
      </c>
      <c r="AF4" s="16">
        <f>[1]Main!$G$3</f>
        <v>45867</v>
      </c>
    </row>
    <row r="5" spans="2:32" x14ac:dyDescent="0.3">
      <c r="B5" s="9" t="s">
        <v>19</v>
      </c>
      <c r="C5" s="15" t="s">
        <v>31</v>
      </c>
      <c r="D5" s="10">
        <f>[2]Main!$D$3</f>
        <v>147.97</v>
      </c>
      <c r="E5" s="11">
        <f>[2]Main!$D$5</f>
        <v>206714.09</v>
      </c>
      <c r="F5" s="11">
        <f>[2]Main!$D$10</f>
        <v>-146463.68690602612</v>
      </c>
      <c r="G5" s="11">
        <f>E5-F5</f>
        <v>353177.77690602612</v>
      </c>
      <c r="N5" s="12"/>
      <c r="O5" s="12"/>
      <c r="P5" s="12"/>
      <c r="Q5" s="12"/>
      <c r="R5" s="12"/>
      <c r="S5" s="12"/>
      <c r="T5" s="13"/>
      <c r="U5" s="13"/>
      <c r="V5" s="14"/>
      <c r="W5" s="14"/>
      <c r="Z5" s="14">
        <f>[2]Model!$AB$24</f>
        <v>0.05</v>
      </c>
      <c r="AA5" s="14">
        <f>[2]Model!$AB$30</f>
        <v>0.19392279537411672</v>
      </c>
      <c r="AB5" s="14" t="str">
        <f>[2]Model!$AB$31</f>
        <v>Slightly undervalued</v>
      </c>
      <c r="AC5" s="15">
        <v>1937</v>
      </c>
      <c r="AE5" s="16">
        <f>[2]Main!$E$3</f>
        <v>44256</v>
      </c>
      <c r="AF5" s="16">
        <f>[2]Main!$G$3</f>
        <v>44328</v>
      </c>
    </row>
    <row r="6" spans="2:32" x14ac:dyDescent="0.3">
      <c r="B6" s="9" t="s">
        <v>2</v>
      </c>
      <c r="C6" s="15" t="s">
        <v>7</v>
      </c>
      <c r="D6" s="17">
        <f>[3]Main!$D$3</f>
        <v>98.4</v>
      </c>
      <c r="E6" s="11">
        <f>[3]Main!$D$5</f>
        <v>49327.920000000006</v>
      </c>
      <c r="F6" s="11">
        <f>[3]Main!$D$8</f>
        <v>-187383</v>
      </c>
      <c r="G6" s="11">
        <f>E6-F6</f>
        <v>236710.92</v>
      </c>
      <c r="H6" s="11">
        <f>[3]Model!AO14</f>
        <v>16013</v>
      </c>
      <c r="I6" s="11">
        <f>[3]Model!AP14</f>
        <v>10721</v>
      </c>
      <c r="J6" s="11">
        <f>[3]Model!AQ14</f>
        <v>11092.382387500042</v>
      </c>
      <c r="K6" s="11">
        <f>[3]Model!AR14</f>
        <v>13656.542687899993</v>
      </c>
      <c r="L6" s="11">
        <f>[3]Model!AS14</f>
        <v>13793.108114778999</v>
      </c>
      <c r="M6" s="11">
        <f>[3]Model!AT14</f>
        <v>13931.039195926793</v>
      </c>
      <c r="N6" s="12">
        <f t="shared" ref="N6:S10" si="3">$G6/H6</f>
        <v>14.782421782301881</v>
      </c>
      <c r="O6" s="12">
        <f t="shared" si="3"/>
        <v>22.079182912041787</v>
      </c>
      <c r="P6" s="12">
        <f t="shared" si="3"/>
        <v>21.339953107526163</v>
      </c>
      <c r="Q6" s="12">
        <f t="shared" si="3"/>
        <v>17.333151252822667</v>
      </c>
      <c r="R6" s="12">
        <f t="shared" si="3"/>
        <v>17.161535893883823</v>
      </c>
      <c r="S6" s="12">
        <f t="shared" si="3"/>
        <v>16.991619696914672</v>
      </c>
      <c r="T6" s="18">
        <f>[3]Model!$AO$3</f>
        <v>322284</v>
      </c>
      <c r="U6" s="27">
        <f t="shared" ref="U6:U10" si="4">G6/T6</f>
        <v>0.73447927914510192</v>
      </c>
      <c r="V6" s="14">
        <f>[3]Model!$AN$23</f>
        <v>0.11603517186250989</v>
      </c>
      <c r="W6" s="14">
        <f>[3]Model!$AO$23</f>
        <v>0.15418003667201474</v>
      </c>
      <c r="X6" s="14">
        <f>[3]Model!$AO$18</f>
        <v>0.18934231919673331</v>
      </c>
      <c r="Y6" s="14">
        <f>[3]Model!$AO$19</f>
        <v>7.0050017996549627E-2</v>
      </c>
      <c r="Z6" s="14">
        <f>[3]Model!$BD$22</f>
        <v>0.06</v>
      </c>
      <c r="AA6" s="14">
        <f>[3]Model!$BD$28</f>
        <v>-0.33083021401817747</v>
      </c>
      <c r="AB6" s="14" t="str">
        <f>[3]Model!$BD$29</f>
        <v>Overvalued</v>
      </c>
      <c r="AC6" s="15">
        <v>1937</v>
      </c>
      <c r="AE6" s="16">
        <f>[3]Main!$E$3</f>
        <v>45782</v>
      </c>
      <c r="AF6" s="16">
        <f>[3]Main!$G$3</f>
        <v>45863</v>
      </c>
    </row>
    <row r="7" spans="2:32" x14ac:dyDescent="0.3">
      <c r="B7" s="9" t="s">
        <v>23</v>
      </c>
      <c r="C7" s="15" t="s">
        <v>35</v>
      </c>
      <c r="D7" s="10">
        <f>[4]Main!$D$3</f>
        <v>45.63</v>
      </c>
      <c r="E7" s="11">
        <f>[4]Main!$D$5</f>
        <v>43868.682000000001</v>
      </c>
      <c r="F7" s="11">
        <f>[4]Main!$D$8</f>
        <v>-105189</v>
      </c>
      <c r="G7" s="11">
        <f>[4]Main!$D$9</f>
        <v>149057.682</v>
      </c>
      <c r="H7" s="11">
        <f>[4]Model!AO$16</f>
        <v>10128</v>
      </c>
      <c r="I7" s="11">
        <f>[4]Model!AP$16</f>
        <v>6009</v>
      </c>
      <c r="J7" s="11">
        <f>[4]Model!AQ$16</f>
        <v>10270.633839999999</v>
      </c>
      <c r="K7" s="11">
        <f>[4]Model!AR$16</f>
        <v>10558.670929120002</v>
      </c>
      <c r="L7" s="11">
        <f>[4]Model!AS$16</f>
        <v>10828.330555136961</v>
      </c>
      <c r="M7" s="11">
        <f>[4]Model!AT$16</f>
        <v>11083.806976747897</v>
      </c>
      <c r="N7" s="12">
        <f t="shared" si="3"/>
        <v>14.717385663507109</v>
      </c>
      <c r="O7" s="12">
        <f t="shared" si="3"/>
        <v>24.805738392411381</v>
      </c>
      <c r="P7" s="12">
        <f t="shared" si="3"/>
        <v>14.512997378942682</v>
      </c>
      <c r="Q7" s="12">
        <f t="shared" si="3"/>
        <v>14.117087557763579</v>
      </c>
      <c r="R7" s="12">
        <f t="shared" si="3"/>
        <v>13.765527496691263</v>
      </c>
      <c r="S7" s="12">
        <f t="shared" si="3"/>
        <v>13.448238706493159</v>
      </c>
      <c r="T7" s="13">
        <f>[4]Model!$AO$3</f>
        <v>171842</v>
      </c>
      <c r="U7" s="27">
        <f t="shared" si="4"/>
        <v>0.86741123823046751</v>
      </c>
      <c r="V7" s="14">
        <f>[4]Model!AN$23</f>
        <v>0.23409498913420057</v>
      </c>
      <c r="W7" s="14">
        <f>[4]Model!AO$23</f>
        <v>9.63856190385044E-2</v>
      </c>
      <c r="X7" s="14">
        <f>[4]Model!$AO$20</f>
        <v>0.17755845485969671</v>
      </c>
      <c r="Y7" s="14">
        <f>[4]Model!$AO$21</f>
        <v>5.4107843251358805E-2</v>
      </c>
      <c r="Z7" s="14">
        <f>[4]Model!$BD$25</f>
        <v>7.0000000000000007E-2</v>
      </c>
      <c r="AA7" s="14">
        <f>[4]Model!$BD$31</f>
        <v>-7.1310548587337763E-3</v>
      </c>
      <c r="AB7" s="14" t="str">
        <f>[4]Model!$BD$32</f>
        <v>Fairly valued</v>
      </c>
      <c r="AC7" s="15">
        <v>1908</v>
      </c>
      <c r="AE7" s="16">
        <f>[4]Main!$E$3</f>
        <v>45782</v>
      </c>
      <c r="AF7" s="16">
        <f>[4]Main!$G$3</f>
        <v>45860</v>
      </c>
    </row>
    <row r="8" spans="2:32" x14ac:dyDescent="0.3">
      <c r="B8" s="9" t="s">
        <v>20</v>
      </c>
      <c r="C8" s="15" t="s">
        <v>32</v>
      </c>
      <c r="D8" s="10">
        <f>[5]Main!$D$3</f>
        <v>9.77</v>
      </c>
      <c r="E8" s="11">
        <f>[5]Main!$D$5</f>
        <v>38723.394999999997</v>
      </c>
      <c r="F8" s="11">
        <f>[5]Main!$D$8</f>
        <v>-109060</v>
      </c>
      <c r="G8" s="11">
        <f>E8-F8</f>
        <v>147783.39499999999</v>
      </c>
      <c r="H8" s="11">
        <f>[5]Model!AO$13</f>
        <v>4347</v>
      </c>
      <c r="I8" s="11">
        <f>[5]Model!AP$13</f>
        <v>5879</v>
      </c>
      <c r="J8" s="11">
        <f>[5]Model!AQ$13</f>
        <v>6741.3520640000006</v>
      </c>
      <c r="K8" s="11">
        <f>[5]Model!AR$13</f>
        <v>7500.3985802800016</v>
      </c>
      <c r="L8" s="11">
        <f>[5]Model!AS$13</f>
        <v>7575.4783179578044</v>
      </c>
      <c r="M8" s="11">
        <f>[5]Model!AT$13</f>
        <v>7651.3092317717565</v>
      </c>
      <c r="N8" s="12">
        <f t="shared" si="3"/>
        <v>33.996640211640212</v>
      </c>
      <c r="O8" s="12">
        <f t="shared" si="3"/>
        <v>25.137505528151046</v>
      </c>
      <c r="P8" s="12">
        <f t="shared" si="3"/>
        <v>21.921922130308129</v>
      </c>
      <c r="Q8" s="12">
        <f t="shared" si="3"/>
        <v>19.703405548146616</v>
      </c>
      <c r="R8" s="12">
        <f t="shared" si="3"/>
        <v>19.508127249163508</v>
      </c>
      <c r="S8" s="12">
        <f t="shared" si="3"/>
        <v>19.314785290122028</v>
      </c>
      <c r="T8" s="13">
        <f>[5]Model!$AO$3</f>
        <v>176191</v>
      </c>
      <c r="U8" s="27">
        <f t="shared" si="4"/>
        <v>0.83876812663529909</v>
      </c>
      <c r="V8" s="14">
        <f>[5]Model!$AN$21</f>
        <v>0.15927710666637318</v>
      </c>
      <c r="W8" s="14">
        <f>[5]Model!$AO$21</f>
        <v>0.1147307616872395</v>
      </c>
      <c r="X8" s="14">
        <f>[5]Model!$AO$17</f>
        <v>0.14552956734452951</v>
      </c>
      <c r="Y8" s="14">
        <f>[5]Model!$AO$18</f>
        <v>3.0977745741836985E-2</v>
      </c>
      <c r="Z8" s="14">
        <f>[5]Model!$BD$20</f>
        <v>0.06</v>
      </c>
      <c r="AA8" s="14">
        <f>[5]Model!$BD$26</f>
        <v>-0.93051516092840769</v>
      </c>
      <c r="AB8" s="14" t="str">
        <f>[5]Model!$BD$27</f>
        <v>Heavily overvalued</v>
      </c>
      <c r="AC8" s="15">
        <v>1903</v>
      </c>
      <c r="AE8" s="16">
        <f>[5]Main!$E$3</f>
        <v>45771</v>
      </c>
      <c r="AF8" s="16">
        <f>[5]Main!$G$3</f>
        <v>45782</v>
      </c>
    </row>
    <row r="9" spans="2:32" x14ac:dyDescent="0.3">
      <c r="B9" s="9" t="s">
        <v>13</v>
      </c>
      <c r="C9" s="15" t="s">
        <v>58</v>
      </c>
      <c r="D9" s="17">
        <f>[6]Main!$D$3</f>
        <v>53.31</v>
      </c>
      <c r="E9" s="11">
        <f>[6]Main!$D$5</f>
        <v>54035.016000000003</v>
      </c>
      <c r="F9" s="11">
        <f>[6]Model!$BD$29</f>
        <v>-91201</v>
      </c>
      <c r="G9" s="11">
        <f>E9-F9</f>
        <v>145236.016</v>
      </c>
      <c r="H9" s="11">
        <f>[6]Model!AO20</f>
        <v>14261</v>
      </c>
      <c r="I9" s="11">
        <f>[6]Model!AP20</f>
        <v>10207</v>
      </c>
      <c r="J9" s="11">
        <f>[6]Model!AQ20</f>
        <v>11285.477327999997</v>
      </c>
      <c r="K9" s="11">
        <f>[6]Model!AR20</f>
        <v>11271.009509279995</v>
      </c>
      <c r="L9" s="11">
        <f>[6]Model!AS20</f>
        <v>11314.895253652796</v>
      </c>
      <c r="M9" s="11">
        <f>[6]Model!AT20</f>
        <v>11357.547096230926</v>
      </c>
      <c r="N9" s="12">
        <f t="shared" ref="N9:S9" si="5">$G9/H9</f>
        <v>10.184139681649253</v>
      </c>
      <c r="O9" s="12">
        <f t="shared" si="5"/>
        <v>14.229060056823748</v>
      </c>
      <c r="P9" s="12">
        <f t="shared" si="5"/>
        <v>12.869284282700217</v>
      </c>
      <c r="Q9" s="12">
        <f t="shared" si="5"/>
        <v>12.885803696680391</v>
      </c>
      <c r="R9" s="12">
        <f t="shared" si="5"/>
        <v>12.835825055747939</v>
      </c>
      <c r="S9" s="12">
        <f t="shared" si="5"/>
        <v>12.787621725838802</v>
      </c>
      <c r="T9" s="18">
        <f>[6]Model!$AO$3</f>
        <v>153218</v>
      </c>
      <c r="U9" s="27">
        <f t="shared" si="4"/>
        <v>0.94790439765562795</v>
      </c>
      <c r="V9" s="14">
        <f>[6]Model!$AN$24</f>
        <v>0.12042451808533672</v>
      </c>
      <c r="W9" s="14">
        <f>[6]Model!$AO$24</f>
        <v>2.1337581740735967E-2</v>
      </c>
      <c r="X9" s="14">
        <f>[6]Model!$AO$25</f>
        <v>0.22437964207860694</v>
      </c>
      <c r="Y9" s="14">
        <f>[6]Model!$AO$26</f>
        <v>0.1283139056768787</v>
      </c>
      <c r="Z9" s="14">
        <f>[6]Model!$BD$27</f>
        <v>0.08</v>
      </c>
      <c r="AA9" s="14">
        <f>[6]Model!$BD$33</f>
        <v>-0.13237746470634748</v>
      </c>
      <c r="AB9" s="14" t="str">
        <f>[6]Model!$BD$34</f>
        <v>Slightly overvalued</v>
      </c>
      <c r="AC9" s="15">
        <v>1926</v>
      </c>
      <c r="AE9" s="16">
        <f>[6]Main!$E$3</f>
        <v>45771</v>
      </c>
      <c r="AF9" s="16">
        <f>[6]Main!$G$3</f>
        <v>45777</v>
      </c>
    </row>
    <row r="10" spans="2:32" x14ac:dyDescent="0.3">
      <c r="B10" s="9" t="s">
        <v>3</v>
      </c>
      <c r="C10" s="15" t="s">
        <v>8</v>
      </c>
      <c r="D10" s="17">
        <f>[7]Main!$D$3</f>
        <v>73.680000000000007</v>
      </c>
      <c r="E10" s="11">
        <f>[7]Main!$D$5</f>
        <v>45843.695999999996</v>
      </c>
      <c r="F10" s="11">
        <f>[7]Main!$D$8</f>
        <v>-91974</v>
      </c>
      <c r="G10" s="11">
        <f>E10-F10</f>
        <v>137817.696</v>
      </c>
      <c r="H10" s="11">
        <f>[7]Model!AO14</f>
        <v>11290</v>
      </c>
      <c r="I10" s="11">
        <f>[7]Model!AP14</f>
        <v>7290</v>
      </c>
      <c r="J10" s="11">
        <f>[7]Model!AQ14</f>
        <v>7978.5110799999984</v>
      </c>
      <c r="K10" s="11">
        <f>[7]Model!AR14</f>
        <v>8996.7216356640001</v>
      </c>
      <c r="L10" s="11">
        <f>[7]Model!AS14</f>
        <v>9363.1411170839237</v>
      </c>
      <c r="M10" s="11">
        <f>[7]Model!AT14</f>
        <v>9546.9610448283565</v>
      </c>
      <c r="N10" s="12">
        <f t="shared" si="3"/>
        <v>12.207058990256865</v>
      </c>
      <c r="O10" s="12">
        <f t="shared" si="3"/>
        <v>18.905033744855967</v>
      </c>
      <c r="P10" s="12">
        <f t="shared" si="3"/>
        <v>17.273610905357046</v>
      </c>
      <c r="Q10" s="12">
        <f t="shared" si="3"/>
        <v>15.318657348880885</v>
      </c>
      <c r="R10" s="12">
        <f t="shared" si="3"/>
        <v>14.719173221531262</v>
      </c>
      <c r="S10" s="12">
        <f t="shared" si="3"/>
        <v>14.435766036214909</v>
      </c>
      <c r="T10" s="18">
        <f>[7]Model!$AO$3</f>
        <v>155498</v>
      </c>
      <c r="U10" s="27">
        <f t="shared" si="4"/>
        <v>0.8862988334255103</v>
      </c>
      <c r="V10" s="14">
        <f>[7]Model!$AN$18</f>
        <v>0.28201440142396095</v>
      </c>
      <c r="W10" s="14">
        <f>[7]Model!$AO$18</f>
        <v>9.0372344155388751E-2</v>
      </c>
      <c r="X10" s="14">
        <f>[7]Model!$AO$19</f>
        <v>0.19092850068811174</v>
      </c>
      <c r="Y10" s="14">
        <f>[7]Model!$AO$20</f>
        <v>0.1188568341715006</v>
      </c>
      <c r="Z10" s="14">
        <f>[7]Model!$BD$21</f>
        <v>0.08</v>
      </c>
      <c r="AA10" s="14">
        <f>[7]Model!$BD$27</f>
        <v>-0.51311441678656355</v>
      </c>
      <c r="AB10" s="14" t="str">
        <f>[7]Model!$BD$28</f>
        <v>Heavily overvalued</v>
      </c>
      <c r="AC10" s="15">
        <v>1916</v>
      </c>
      <c r="AE10" s="16">
        <f>[7]Main!$E$3</f>
        <v>45771</v>
      </c>
      <c r="AF10" s="16">
        <f>[7]Main!$G$3</f>
        <v>45784</v>
      </c>
    </row>
    <row r="11" spans="2:32" x14ac:dyDescent="0.3">
      <c r="B11" s="9" t="s">
        <v>22</v>
      </c>
      <c r="C11" s="15" t="s">
        <v>38</v>
      </c>
      <c r="D11" s="15">
        <f>[8]Main!$D$3</f>
        <v>25.53</v>
      </c>
      <c r="E11" s="11">
        <f>[8]Main!$D$5</f>
        <v>44080.097999999998</v>
      </c>
      <c r="F11" s="11">
        <f>[8]Main!$D$10</f>
        <v>-47632.850505777977</v>
      </c>
      <c r="G11" s="11">
        <f>[8]Main!$D$11</f>
        <v>91712.948505777982</v>
      </c>
      <c r="N11" s="12"/>
      <c r="O11" s="12"/>
      <c r="P11" s="12"/>
      <c r="Q11" s="12"/>
      <c r="R11" s="12"/>
      <c r="S11" s="12"/>
      <c r="T11" s="13"/>
      <c r="U11" s="13"/>
      <c r="V11" s="14"/>
      <c r="W11" s="14"/>
      <c r="Z11" s="14">
        <f>[8]Model!$R$23</f>
        <v>0.06</v>
      </c>
      <c r="AA11" s="14">
        <f>[8]Model!$R$29</f>
        <v>0.20695593367719556</v>
      </c>
      <c r="AB11" s="14" t="str">
        <f>[8]Model!$R$30</f>
        <v>Slightly undervalued</v>
      </c>
      <c r="AC11" s="15">
        <v>1948</v>
      </c>
    </row>
    <row r="12" spans="2:32" x14ac:dyDescent="0.3">
      <c r="B12" s="21" t="s">
        <v>68</v>
      </c>
      <c r="C12" s="15" t="s">
        <v>69</v>
      </c>
      <c r="D12" s="24">
        <f>[9]Main!$D$3</f>
        <v>46.72</v>
      </c>
      <c r="E12" s="11">
        <f>[9]Main!$D$5</f>
        <v>42561.919999999998</v>
      </c>
      <c r="F12" s="11">
        <f>[9]Main!$D$8</f>
        <v>-5029</v>
      </c>
      <c r="G12" s="11">
        <f>[9]Main!$D$9</f>
        <v>47590.92</v>
      </c>
      <c r="H12" s="11">
        <f>[9]Model!N$19</f>
        <v>5156</v>
      </c>
      <c r="I12" s="11">
        <f>[9]Model!O$19</f>
        <v>3596</v>
      </c>
      <c r="N12" s="12">
        <f t="shared" ref="N12" si="6">$G12/H12</f>
        <v>9.2302017067494173</v>
      </c>
      <c r="O12" s="12">
        <f t="shared" ref="O12" si="7">$G12/I12</f>
        <v>13.23440489432703</v>
      </c>
      <c r="P12" s="12"/>
      <c r="Q12" s="12"/>
      <c r="R12" s="12"/>
      <c r="S12" s="12"/>
      <c r="T12" s="25">
        <f>[9]Model!$N$3</f>
        <v>40530</v>
      </c>
      <c r="U12" s="27">
        <f t="shared" ref="U12:U13" si="8">G12/T12</f>
        <v>1.1742146558105107</v>
      </c>
      <c r="V12" s="14"/>
      <c r="W12" s="14"/>
      <c r="AE12" s="16">
        <f>[9]Main!$E$3</f>
        <v>45771</v>
      </c>
      <c r="AF12" s="16">
        <f>[9]Main!$G$3</f>
        <v>45776</v>
      </c>
    </row>
    <row r="13" spans="2:32" x14ac:dyDescent="0.3">
      <c r="B13" s="26" t="s">
        <v>65</v>
      </c>
      <c r="C13" s="15" t="s">
        <v>66</v>
      </c>
      <c r="D13" s="22">
        <f>[10]Main!$D$3</f>
        <v>8</v>
      </c>
      <c r="E13" s="11">
        <f>[10]Main!$D$5</f>
        <v>30100.799999999999</v>
      </c>
      <c r="F13" s="11">
        <f>[10]Main!$D$8</f>
        <v>-3127</v>
      </c>
      <c r="G13" s="11">
        <f>[10]Main!$D$9</f>
        <v>33227.800000000003</v>
      </c>
      <c r="H13" s="11">
        <f>[10]Model!Q$17</f>
        <v>18596</v>
      </c>
      <c r="I13" s="11">
        <f>[10]Model!R$17</f>
        <v>5473</v>
      </c>
      <c r="J13" s="11">
        <f>[10]Model!S$17</f>
        <v>-121.04400000000184</v>
      </c>
      <c r="K13" s="11">
        <f>[10]Model!T$17</f>
        <v>2322.7907304000009</v>
      </c>
      <c r="L13" s="11">
        <f>[10]Model!U$17</f>
        <v>4719.6040671360006</v>
      </c>
      <c r="M13" s="11">
        <f>[10]Model!V$17</f>
        <v>5964.6729261672017</v>
      </c>
      <c r="N13" s="12">
        <f>$G13/H13</f>
        <v>1.7868251236825126</v>
      </c>
      <c r="O13" s="12">
        <f>$G13/I13</f>
        <v>6.0712223643340035</v>
      </c>
      <c r="P13" s="12">
        <f t="shared" ref="P13:S13" si="9">$G13/J13</f>
        <v>-274.51009550245777</v>
      </c>
      <c r="Q13" s="12">
        <f t="shared" si="9"/>
        <v>14.305119942629503</v>
      </c>
      <c r="R13" s="12">
        <f t="shared" si="9"/>
        <v>7.0403787112938145</v>
      </c>
      <c r="S13" s="12">
        <f t="shared" si="9"/>
        <v>5.5707664797894676</v>
      </c>
      <c r="T13" s="13">
        <f>[10]Model!$Q$3</f>
        <v>189544</v>
      </c>
      <c r="U13" s="27">
        <f t="shared" si="8"/>
        <v>0.17530388722407464</v>
      </c>
      <c r="V13" s="14"/>
      <c r="W13" s="14">
        <f>[10]Model!$Q$21</f>
        <v>5.5414495077731774E-2</v>
      </c>
      <c r="X13" s="14">
        <f>[10]Model!$Q$22</f>
        <v>0.20124087283163802</v>
      </c>
      <c r="Y13" s="14">
        <f>[10]Model!$Q$25</f>
        <v>0.11805174524121048</v>
      </c>
      <c r="Z13" s="14">
        <f>[10]Model!$AF$24</f>
        <v>0.08</v>
      </c>
      <c r="AA13" s="14">
        <f>[10]Model!$AF$30</f>
        <v>1.3973121928006629</v>
      </c>
      <c r="AB13" s="14" t="str">
        <f>[10]Model!$AF$31</f>
        <v>Heavily undervalued</v>
      </c>
      <c r="AC13" s="15" t="s">
        <v>67</v>
      </c>
      <c r="AE13" s="16">
        <f>[10]Main!$E$3</f>
        <v>45771</v>
      </c>
      <c r="AF13" s="16">
        <f>[10]Main!$G$3</f>
        <v>45777</v>
      </c>
    </row>
    <row r="14" spans="2:32" x14ac:dyDescent="0.3">
      <c r="B14" s="23" t="s">
        <v>21</v>
      </c>
      <c r="C14" s="15" t="s">
        <v>33</v>
      </c>
      <c r="D14" s="17">
        <f>[11]Main!$D$3</f>
        <v>163.80000000000001</v>
      </c>
      <c r="E14" s="11">
        <f>[11]Main!$D$5</f>
        <v>31760.820000000003</v>
      </c>
      <c r="F14" s="11">
        <f>[11]Main!$D$8</f>
        <v>5460.6</v>
      </c>
      <c r="G14" s="11">
        <f>[11]Main!$D$9</f>
        <v>26300.22</v>
      </c>
      <c r="N14" s="12"/>
      <c r="O14" s="12"/>
      <c r="P14" s="12"/>
      <c r="Q14" s="12"/>
      <c r="R14" s="12"/>
      <c r="S14" s="12"/>
      <c r="T14" s="18"/>
      <c r="U14" s="18"/>
      <c r="V14" s="14"/>
      <c r="W14" s="14"/>
      <c r="Z14" s="14">
        <f>[11]Model!$AI$23</f>
        <v>0.06</v>
      </c>
      <c r="AA14" s="14">
        <f>[11]Model!$AI$29</f>
        <v>-0.19255438000847924</v>
      </c>
      <c r="AB14" s="14" t="str">
        <f>[11]Model!$AI$30</f>
        <v>Slightly overvalued</v>
      </c>
      <c r="AC14" s="15">
        <v>1947</v>
      </c>
      <c r="AE14" s="16">
        <f>[11]Main!$E$3</f>
        <v>44257</v>
      </c>
      <c r="AF14" s="16">
        <f>[11]Main!$G$3</f>
        <v>44320</v>
      </c>
    </row>
    <row r="15" spans="2:32" x14ac:dyDescent="0.3">
      <c r="B15" s="9" t="s">
        <v>62</v>
      </c>
      <c r="C15" s="15" t="s">
        <v>63</v>
      </c>
      <c r="D15" s="10">
        <f>[12]Main!$D$3</f>
        <v>11.96</v>
      </c>
      <c r="E15" s="11">
        <f>[12]Main!$D$5</f>
        <v>12653.68</v>
      </c>
      <c r="F15" s="11">
        <f>[12]Main!$D$8</f>
        <v>3259</v>
      </c>
      <c r="G15" s="11">
        <f>[12]Main!$D$9</f>
        <v>9394.68</v>
      </c>
      <c r="H15" s="11">
        <f>[12]Model!X$21</f>
        <v>-5432</v>
      </c>
      <c r="I15" s="11">
        <f>[12]Model!Y$21</f>
        <v>-4747</v>
      </c>
      <c r="J15" s="11">
        <f>[12]Model!Z$21</f>
        <v>-2737.1781026800018</v>
      </c>
      <c r="K15" s="11">
        <f>[12]Model!AA$21</f>
        <v>-2431.7268265104008</v>
      </c>
      <c r="L15" s="11">
        <f>[12]Model!AB$21</f>
        <v>-2099.6875420206088</v>
      </c>
      <c r="M15" s="11">
        <f>[12]Model!AC$21</f>
        <v>-1692.1326230002155</v>
      </c>
      <c r="T15" s="13">
        <f>[12]Model!$X$5</f>
        <v>4434</v>
      </c>
      <c r="U15" s="27">
        <f t="shared" ref="U15:U17" si="10">G15/T15</f>
        <v>2.1187821380243572</v>
      </c>
      <c r="V15" s="14">
        <f>[12]Model!$W$25</f>
        <v>29.145454545454545</v>
      </c>
      <c r="W15" s="14">
        <f>[12]Model!$X$25</f>
        <v>1.6743063932448732</v>
      </c>
      <c r="X15" s="14">
        <f>[12]Model!$X$26</f>
        <v>-0.45782589084348219</v>
      </c>
      <c r="Y15" s="14">
        <f>[12]Model!$Y$26</f>
        <v>-0.2414486921529175</v>
      </c>
      <c r="Z15" s="14">
        <f>[12]Model!$AN$27</f>
        <v>0.09</v>
      </c>
      <c r="AA15" s="14">
        <f>[12]Model!$AN$78</f>
        <v>-1.0978041506643392</v>
      </c>
      <c r="AB15" s="14" t="str">
        <f>[12]Model!$AN$34</f>
        <v>Heavily overvalued</v>
      </c>
      <c r="AC15" s="15">
        <v>2009</v>
      </c>
      <c r="AE15" s="16">
        <f>[12]Main!$E$3</f>
        <v>45713</v>
      </c>
      <c r="AF15" s="16">
        <f>[12]Main!$G$3</f>
        <v>45790</v>
      </c>
    </row>
    <row r="16" spans="2:32" x14ac:dyDescent="0.3">
      <c r="B16" s="21" t="s">
        <v>70</v>
      </c>
      <c r="C16" s="15" t="s">
        <v>71</v>
      </c>
      <c r="D16" s="10">
        <f>[13]Main!$D$3</f>
        <v>2.46</v>
      </c>
      <c r="E16" s="11">
        <f>[13]Main!$D$5</f>
        <v>7457.49</v>
      </c>
      <c r="F16" s="11">
        <f>[13]Main!$D$8</f>
        <v>2028.8</v>
      </c>
      <c r="G16" s="11">
        <f>[13]Main!$D$9</f>
        <v>5428.69</v>
      </c>
      <c r="H16" s="11">
        <f>[13]Model!AB$14</f>
        <v>-2828.3</v>
      </c>
      <c r="I16" s="11">
        <f>[13]Model!AC$14</f>
        <v>-2714.0000000000005</v>
      </c>
      <c r="J16" s="11">
        <f>[13]Model!AD$14</f>
        <v>-2534.33</v>
      </c>
      <c r="K16" s="11">
        <f>[13]Model!AE$14</f>
        <v>-2333.4748500000001</v>
      </c>
      <c r="L16" s="11">
        <f>[13]Model!AF$14</f>
        <v>-1943.7248985000001</v>
      </c>
      <c r="M16" s="11">
        <f>[13]Model!AG$14</f>
        <v>-1535.5301804850001</v>
      </c>
      <c r="T16" s="13">
        <f>[13]Model!$AB$3</f>
        <v>595.29999999999995</v>
      </c>
      <c r="U16" s="27">
        <f t="shared" si="10"/>
        <v>9.119250797917017</v>
      </c>
      <c r="V16" s="14">
        <f>[13]Model!$AA$18</f>
        <v>21.44280442804428</v>
      </c>
      <c r="W16" s="14">
        <f>[13]Model!$AB$18</f>
        <v>-2.1210128247287185E-2</v>
      </c>
      <c r="X16" s="14">
        <f>[13]Model!$AB$19</f>
        <v>-2.2523097597849824</v>
      </c>
      <c r="Y16" s="14">
        <f>[13]Model!$AB$22</f>
        <v>-5.2066185116747858</v>
      </c>
      <c r="Z16" s="14">
        <f>[13]Model!$AQ$20</f>
        <v>0.1</v>
      </c>
      <c r="AA16" s="14">
        <f>[13]Model!$AQ$26</f>
        <v>-1.7560259481433871</v>
      </c>
      <c r="AB16" s="14" t="str">
        <f>[13]Model!$AQ$27</f>
        <v>Heavily overvalued</v>
      </c>
      <c r="AE16" s="16">
        <f>[13]Main!$E$3</f>
        <v>45771</v>
      </c>
      <c r="AF16" s="16">
        <f>[13]Main!$G$3</f>
        <v>45783</v>
      </c>
    </row>
    <row r="17" spans="2:32" x14ac:dyDescent="0.3">
      <c r="B17" s="9" t="s">
        <v>4</v>
      </c>
      <c r="C17" s="15" t="s">
        <v>9</v>
      </c>
      <c r="D17" s="19">
        <f>[14]Main!$D$3</f>
        <v>1.0980000000000001</v>
      </c>
      <c r="E17" s="11">
        <f>[14]Main!$D$5</f>
        <v>905.85</v>
      </c>
      <c r="F17" s="11">
        <f>[14]Main!$D$8</f>
        <v>-974.2</v>
      </c>
      <c r="G17" s="11">
        <f>E17-F17</f>
        <v>1880.0500000000002</v>
      </c>
      <c r="H17" s="11">
        <f>[14]Model!AH15</f>
        <v>-228.10000000000014</v>
      </c>
      <c r="I17" s="11">
        <f>[14]Model!AI15</f>
        <v>-239.64460000000003</v>
      </c>
      <c r="J17" s="11">
        <f>[14]Model!AJ15</f>
        <v>-137.36318280000003</v>
      </c>
      <c r="K17" s="11">
        <f>[14]Model!AK15</f>
        <v>-45.433853162400069</v>
      </c>
      <c r="L17" s="11">
        <f>[14]Model!AL15</f>
        <v>28.41758343130066</v>
      </c>
      <c r="M17" s="11">
        <f>[14]Model!AM15</f>
        <v>79.191899431941238</v>
      </c>
      <c r="N17" s="12">
        <f t="shared" ref="N17:S17" si="11">$G17/H17</f>
        <v>-8.2422183252959194</v>
      </c>
      <c r="O17" s="12">
        <f t="shared" si="11"/>
        <v>-7.8451590396779229</v>
      </c>
      <c r="P17" s="12">
        <f t="shared" si="11"/>
        <v>-13.686709653032295</v>
      </c>
      <c r="Q17" s="12">
        <f t="shared" si="11"/>
        <v>-41.379937406583046</v>
      </c>
      <c r="R17" s="12">
        <f t="shared" si="11"/>
        <v>66.15798294548901</v>
      </c>
      <c r="S17" s="12">
        <f t="shared" si="11"/>
        <v>23.740433219634347</v>
      </c>
      <c r="T17" s="20">
        <f>[14]Model!$AH$3</f>
        <v>1632.8</v>
      </c>
      <c r="U17" s="27">
        <f t="shared" si="10"/>
        <v>1.1514269965703088</v>
      </c>
      <c r="V17" s="14">
        <f>[14]Model!$AG$19</f>
        <v>0.26129827444535758</v>
      </c>
      <c r="W17" s="14">
        <f>[14]Model!$AH$19</f>
        <v>0.18190372783206654</v>
      </c>
      <c r="X17" s="14">
        <f>[14]Model!$AH$20</f>
        <v>0.3914747672709456</v>
      </c>
      <c r="Y17" s="14">
        <f>[14]Model!$AH$21</f>
        <v>-6.8103870651641418E-2</v>
      </c>
      <c r="Z17" s="14">
        <f>[14]Model!$AW$19</f>
        <v>0.08</v>
      </c>
      <c r="AA17" s="14">
        <f>[14]Model!$AW$25</f>
        <v>-0.45006922200548305</v>
      </c>
      <c r="AB17" s="14" t="str">
        <f>[14]Model!$AW$26</f>
        <v>Overvalued</v>
      </c>
      <c r="AC17" s="15">
        <v>1913</v>
      </c>
      <c r="AE17" s="16">
        <f>[14]Main!$E$3</f>
        <v>45635</v>
      </c>
      <c r="AF17" s="16">
        <f>[14]Main!$G$3</f>
        <v>45715</v>
      </c>
    </row>
    <row r="18" spans="2:32" x14ac:dyDescent="0.3">
      <c r="B18" s="1" t="s">
        <v>26</v>
      </c>
    </row>
    <row r="19" spans="2:32" x14ac:dyDescent="0.3">
      <c r="B19" s="2" t="s">
        <v>45</v>
      </c>
    </row>
    <row r="20" spans="2:32" x14ac:dyDescent="0.3">
      <c r="B20" s="2" t="s">
        <v>30</v>
      </c>
      <c r="C20" s="15" t="s">
        <v>39</v>
      </c>
    </row>
    <row r="21" spans="2:32" x14ac:dyDescent="0.3">
      <c r="B21" s="2" t="s">
        <v>24</v>
      </c>
    </row>
    <row r="22" spans="2:32" x14ac:dyDescent="0.3">
      <c r="B22" s="2" t="s">
        <v>25</v>
      </c>
    </row>
    <row r="23" spans="2:32" x14ac:dyDescent="0.3">
      <c r="B23" s="2" t="s">
        <v>27</v>
      </c>
    </row>
    <row r="24" spans="2:32" x14ac:dyDescent="0.3">
      <c r="B24" s="2" t="s">
        <v>28</v>
      </c>
    </row>
    <row r="25" spans="2:32" x14ac:dyDescent="0.3">
      <c r="B25" s="2" t="s">
        <v>29</v>
      </c>
    </row>
    <row r="26" spans="2:32" x14ac:dyDescent="0.3">
      <c r="B26" s="2" t="s">
        <v>59</v>
      </c>
    </row>
    <row r="27" spans="2:32" x14ac:dyDescent="0.3">
      <c r="B27" s="9" t="s">
        <v>60</v>
      </c>
      <c r="C27" s="15" t="s">
        <v>61</v>
      </c>
    </row>
    <row r="28" spans="2:32" x14ac:dyDescent="0.3">
      <c r="B28" s="2" t="s">
        <v>64</v>
      </c>
    </row>
  </sheetData>
  <phoneticPr fontId="2" type="noConversion"/>
  <hyperlinks>
    <hyperlink ref="B4" r:id="rId1" xr:uid="{BDA7DE5E-15A4-455F-8CE5-D312265DE1B9}"/>
    <hyperlink ref="B6" r:id="rId2" xr:uid="{9EF64D78-9135-4063-BC32-3B49214D1805}"/>
    <hyperlink ref="B9" r:id="rId3" xr:uid="{722BFE42-CB93-43C5-BA8C-9280E02F47E2}"/>
    <hyperlink ref="B17" r:id="rId4" xr:uid="{56C96435-9588-42E6-A4AD-DE6515C50628}"/>
    <hyperlink ref="B5" r:id="rId5" xr:uid="{B819F22F-4950-4627-A2C8-8D2E7FE4A1A6}"/>
    <hyperlink ref="B8" r:id="rId6" xr:uid="{74BE01E6-4BE4-4D16-8062-6C89626A755A}"/>
    <hyperlink ref="B10" r:id="rId7" xr:uid="{2A94898E-7EEA-478F-821F-C9DAF49C9E25}"/>
    <hyperlink ref="B7" r:id="rId8" xr:uid="{D3FC1C66-ECDA-4631-9B91-679FD5526E37}"/>
    <hyperlink ref="B14" r:id="rId9" xr:uid="{E1AFF51E-621B-4FB0-B610-912CBBB2B924}"/>
    <hyperlink ref="B11" r:id="rId10" xr:uid="{11F8A065-CE0B-4391-86EE-09ACE12A468F}"/>
    <hyperlink ref="B27" r:id="rId11" xr:uid="{8E9F1539-AEBD-488A-B36E-E13BE96119DC}"/>
    <hyperlink ref="B15" r:id="rId12" xr:uid="{641483FC-4BA6-4EA3-8B55-3FAC28086E72}"/>
    <hyperlink ref="B13" r:id="rId13" xr:uid="{4B9004F4-029C-478D-A29B-4329790F70F4}"/>
    <hyperlink ref="B12" r:id="rId14" xr:uid="{4E6DFF97-7F95-41BE-ACAC-48943F8E74B5}"/>
    <hyperlink ref="B16" r:id="rId15" xr:uid="{B644FC32-C875-4A03-9BF9-0D1B48B57D9B}"/>
  </hyperlinks>
  <pageMargins left="0.7" right="0.7" top="0.75" bottom="0.75" header="0.3" footer="0.3"/>
  <pageSetup paperSize="9" orientation="portrait" horizontalDpi="4294967293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2020-09-09T12:56:30Z</cp:lastPrinted>
  <dcterms:created xsi:type="dcterms:W3CDTF">2020-09-07T10:22:30Z</dcterms:created>
  <dcterms:modified xsi:type="dcterms:W3CDTF">2025-05-05T16:47:55Z</dcterms:modified>
</cp:coreProperties>
</file>