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72C21B19-EAD8-4770-BAFE-DD2AFCC6848F}" xr6:coauthVersionLast="47" xr6:coauthVersionMax="47" xr10:uidLastSave="{00000000-0000-0000-0000-000000000000}"/>
  <bookViews>
    <workbookView xWindow="-108" yWindow="-108" windowWidth="23256" windowHeight="12576" xr2:uid="{C6AEFCEA-ADAE-4BFE-85FB-A83490FE9071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1" l="1"/>
  <c r="AJ8" i="1"/>
  <c r="AC8" i="1"/>
  <c r="AB8" i="1"/>
  <c r="AA8" i="1"/>
  <c r="Z8" i="1"/>
  <c r="X8" i="1"/>
  <c r="Q8" i="1"/>
  <c r="P8" i="1"/>
  <c r="O8" i="1"/>
  <c r="N8" i="1"/>
  <c r="M8" i="1"/>
  <c r="L8" i="1"/>
  <c r="K8" i="1"/>
  <c r="J8" i="1"/>
  <c r="I8" i="1"/>
  <c r="H8" i="1"/>
  <c r="G8" i="1"/>
  <c r="R8" i="1" s="1"/>
  <c r="F8" i="1"/>
  <c r="E8" i="1"/>
  <c r="D8" i="1"/>
  <c r="Y8" i="1" l="1"/>
  <c r="AJ14" i="1"/>
  <c r="AK14" i="1"/>
  <c r="AC14" i="1"/>
  <c r="AB14" i="1"/>
  <c r="AA14" i="1"/>
  <c r="Z14" i="1"/>
  <c r="X14" i="1" l="1"/>
  <c r="Q14" i="1"/>
  <c r="P14" i="1"/>
  <c r="O14" i="1"/>
  <c r="N14" i="1"/>
  <c r="M14" i="1"/>
  <c r="L14" i="1"/>
  <c r="K14" i="1"/>
  <c r="J14" i="1"/>
  <c r="I14" i="1"/>
  <c r="G14" i="1"/>
  <c r="F14" i="1"/>
  <c r="E14" i="1"/>
  <c r="D14" i="1"/>
  <c r="Q11" i="1"/>
  <c r="P11" i="1"/>
  <c r="O11" i="1"/>
  <c r="N11" i="1"/>
  <c r="Q10" i="1"/>
  <c r="P10" i="1"/>
  <c r="O10" i="1"/>
  <c r="N10" i="1"/>
  <c r="Q6" i="1"/>
  <c r="P6" i="1"/>
  <c r="O6" i="1"/>
  <c r="N6" i="1"/>
  <c r="Q5" i="1"/>
  <c r="P5" i="1"/>
  <c r="O5" i="1"/>
  <c r="N5" i="1"/>
  <c r="AK10" i="1"/>
  <c r="AJ10" i="1"/>
  <c r="AC10" i="1"/>
  <c r="AB10" i="1"/>
  <c r="AA10" i="1"/>
  <c r="Z10" i="1"/>
  <c r="X10" i="1"/>
  <c r="M10" i="1"/>
  <c r="R10" i="1" s="1"/>
  <c r="L10" i="1"/>
  <c r="K10" i="1"/>
  <c r="J10" i="1"/>
  <c r="I10" i="1"/>
  <c r="H10" i="1"/>
  <c r="G10" i="1"/>
  <c r="F10" i="1"/>
  <c r="E10" i="1"/>
  <c r="D10" i="1"/>
  <c r="Y10" i="1" l="1"/>
  <c r="Y14" i="1"/>
  <c r="R14" i="1"/>
  <c r="AK11" i="1"/>
  <c r="AJ11" i="1"/>
  <c r="AC11" i="1"/>
  <c r="AB11" i="1"/>
  <c r="AA11" i="1"/>
  <c r="Z11" i="1"/>
  <c r="X11" i="1"/>
  <c r="M11" i="1"/>
  <c r="L11" i="1"/>
  <c r="K11" i="1"/>
  <c r="J11" i="1"/>
  <c r="I11" i="1"/>
  <c r="H11" i="1"/>
  <c r="G11" i="1"/>
  <c r="F11" i="1"/>
  <c r="E11" i="1"/>
  <c r="D11" i="1"/>
  <c r="Y11" i="1" l="1"/>
  <c r="R11" i="1"/>
  <c r="AK6" i="1"/>
  <c r="AJ6" i="1"/>
  <c r="AC6" i="1"/>
  <c r="AB6" i="1"/>
  <c r="AA6" i="1"/>
  <c r="Z6" i="1"/>
  <c r="X6" i="1" l="1"/>
  <c r="G6" i="1"/>
  <c r="Y6" i="1" s="1"/>
  <c r="F6" i="1"/>
  <c r="E6" i="1"/>
  <c r="D6" i="1"/>
  <c r="X7" i="1" l="1"/>
  <c r="AK7" i="1"/>
  <c r="AJ7" i="1"/>
  <c r="AK4" i="1" l="1"/>
  <c r="AJ4" i="1"/>
  <c r="X4" i="1"/>
  <c r="X5" i="1"/>
  <c r="AK5" i="1" l="1"/>
  <c r="AJ5" i="1"/>
  <c r="AC5" i="1"/>
  <c r="AB5" i="1"/>
  <c r="AA5" i="1"/>
  <c r="Z5" i="1"/>
  <c r="M5" i="1"/>
  <c r="L5" i="1"/>
  <c r="K5" i="1"/>
  <c r="J5" i="1"/>
  <c r="I5" i="1"/>
  <c r="H5" i="1"/>
  <c r="G5" i="1"/>
  <c r="Y5" i="1" s="1"/>
  <c r="F5" i="1"/>
  <c r="E5" i="1"/>
  <c r="D5" i="1"/>
  <c r="AE18" i="1"/>
  <c r="AK18" i="1"/>
  <c r="AJ18" i="1"/>
  <c r="AF18" i="1"/>
  <c r="AD18" i="1"/>
  <c r="AF13" i="1"/>
  <c r="AE13" i="1"/>
  <c r="AD13" i="1"/>
  <c r="H6" i="1" l="1"/>
  <c r="J6" i="1"/>
  <c r="I6" i="1"/>
  <c r="L6" i="1"/>
  <c r="M6" i="1"/>
  <c r="R6" i="1" s="1"/>
  <c r="K6" i="1"/>
  <c r="R5" i="1"/>
  <c r="AB4" i="1"/>
  <c r="AC18" i="1"/>
  <c r="AB18" i="1"/>
  <c r="AA18" i="1"/>
  <c r="Z18" i="1"/>
  <c r="X18" i="1"/>
  <c r="Q18" i="1"/>
  <c r="P18" i="1"/>
  <c r="O18" i="1"/>
  <c r="N18" i="1"/>
  <c r="M18" i="1"/>
  <c r="L18" i="1"/>
  <c r="K18" i="1"/>
  <c r="J18" i="1"/>
  <c r="I18" i="1"/>
  <c r="H18" i="1"/>
  <c r="G18" i="1"/>
  <c r="Y18" i="1" s="1"/>
  <c r="F18" i="1"/>
  <c r="E18" i="1"/>
  <c r="D18" i="1"/>
  <c r="N4" i="1"/>
  <c r="O4" i="1"/>
  <c r="P4" i="1"/>
  <c r="Q4" i="1"/>
  <c r="N7" i="1"/>
  <c r="O7" i="1"/>
  <c r="P7" i="1"/>
  <c r="Q7" i="1"/>
  <c r="AK21" i="1"/>
  <c r="AJ21" i="1"/>
  <c r="AF21" i="1"/>
  <c r="AE21" i="1"/>
  <c r="AD21" i="1"/>
  <c r="AC21" i="1"/>
  <c r="AB21" i="1"/>
  <c r="X21" i="1"/>
  <c r="Q21" i="1"/>
  <c r="P21" i="1"/>
  <c r="O21" i="1"/>
  <c r="N21" i="1"/>
  <c r="M21" i="1"/>
  <c r="L21" i="1"/>
  <c r="G21" i="1"/>
  <c r="F21" i="1"/>
  <c r="E21" i="1"/>
  <c r="D21" i="1"/>
  <c r="AC13" i="1"/>
  <c r="AB13" i="1"/>
  <c r="AA13" i="1"/>
  <c r="Z13" i="1"/>
  <c r="X13" i="1"/>
  <c r="M13" i="1"/>
  <c r="L13" i="1"/>
  <c r="K13" i="1"/>
  <c r="J13" i="1"/>
  <c r="I13" i="1"/>
  <c r="AC7" i="1"/>
  <c r="AB7" i="1"/>
  <c r="AA7" i="1"/>
  <c r="Z7" i="1"/>
  <c r="AA4" i="1"/>
  <c r="Z4" i="1"/>
  <c r="W21" i="1" l="1"/>
  <c r="Y21" i="1"/>
  <c r="AC4" i="1"/>
  <c r="V18" i="1"/>
  <c r="U18" i="1"/>
  <c r="W18" i="1"/>
  <c r="R18" i="1"/>
  <c r="S18" i="1"/>
  <c r="T18" i="1"/>
  <c r="M7" i="1"/>
  <c r="L7" i="1"/>
  <c r="K7" i="1"/>
  <c r="J7" i="1"/>
  <c r="I7" i="1"/>
  <c r="H7" i="1"/>
  <c r="G7" i="1"/>
  <c r="Y7" i="1" s="1"/>
  <c r="F7" i="1"/>
  <c r="E7" i="1"/>
  <c r="D7" i="1"/>
  <c r="R7" i="1" l="1"/>
  <c r="I4" i="1" l="1"/>
  <c r="K4" i="1"/>
  <c r="J4" i="1"/>
  <c r="H4" i="1"/>
  <c r="L4" i="1"/>
  <c r="M4" i="1"/>
  <c r="AK13" i="1"/>
  <c r="AJ13" i="1"/>
  <c r="G13" i="1" l="1"/>
  <c r="Y13" i="1" s="1"/>
  <c r="F13" i="1"/>
  <c r="E13" i="1"/>
  <c r="D13" i="1"/>
  <c r="R13" i="1" l="1"/>
  <c r="G4" i="1"/>
  <c r="Y4" i="1" s="1"/>
  <c r="Y3" i="1" s="1"/>
  <c r="F4" i="1"/>
  <c r="E4" i="1"/>
  <c r="D4" i="1"/>
  <c r="R4" i="1" l="1"/>
  <c r="R3" i="1" s="1"/>
  <c r="AF3" i="1"/>
  <c r="AD3" i="1"/>
  <c r="AC3" i="1"/>
  <c r="AB3" i="1"/>
  <c r="AA3" i="1"/>
  <c r="Z3" i="1"/>
  <c r="N13" i="1" l="1"/>
  <c r="S13" i="1" s="1"/>
  <c r="S3" i="1" s="1"/>
  <c r="O13" i="1" l="1"/>
  <c r="T13" i="1" s="1"/>
  <c r="T3" i="1" s="1"/>
  <c r="P13" i="1" l="1"/>
  <c r="U13" i="1" s="1"/>
  <c r="U3" i="1" s="1"/>
  <c r="Q13" i="1" l="1"/>
  <c r="V13" i="1" s="1"/>
  <c r="V3" i="1" s="1"/>
  <c r="W13" i="1" l="1"/>
  <c r="W3" i="1" s="1"/>
  <c r="AE3" i="1"/>
</calcChain>
</file>

<file path=xl/sharedStrings.xml><?xml version="1.0" encoding="utf-8"?>
<sst xmlns="http://schemas.openxmlformats.org/spreadsheetml/2006/main" count="73" uniqueCount="73">
  <si>
    <t>Company</t>
  </si>
  <si>
    <t>Ticker</t>
  </si>
  <si>
    <t>Price</t>
  </si>
  <si>
    <t>MC</t>
  </si>
  <si>
    <t>Net Cash</t>
  </si>
  <si>
    <t>EV</t>
  </si>
  <si>
    <t>2023 E</t>
  </si>
  <si>
    <t>2024 E</t>
  </si>
  <si>
    <t>2025 E</t>
  </si>
  <si>
    <t>2026 E</t>
  </si>
  <si>
    <t>2027 E</t>
  </si>
  <si>
    <t>2028 E</t>
  </si>
  <si>
    <t>2024 EV/E</t>
  </si>
  <si>
    <t>2025 EV/E</t>
  </si>
  <si>
    <t>2026 EV/E</t>
  </si>
  <si>
    <t>2027 EV/E</t>
  </si>
  <si>
    <t>2028 EV/E</t>
  </si>
  <si>
    <t>2023 RevG</t>
  </si>
  <si>
    <t>Discount</t>
  </si>
  <si>
    <t>Variance</t>
  </si>
  <si>
    <t>Consensus</t>
  </si>
  <si>
    <t>Segment</t>
  </si>
  <si>
    <t>Founded</t>
  </si>
  <si>
    <t>Industry Average</t>
  </si>
  <si>
    <t>Raytheon</t>
  </si>
  <si>
    <t>Lockheed Martin</t>
  </si>
  <si>
    <t>Northrop Grumman</t>
  </si>
  <si>
    <t>BAE</t>
  </si>
  <si>
    <t>L3Harris</t>
  </si>
  <si>
    <t>Rheinmetall</t>
  </si>
  <si>
    <t>Boeing</t>
  </si>
  <si>
    <t>General Dynamics</t>
  </si>
  <si>
    <t>Honeywell</t>
  </si>
  <si>
    <t>Airbus</t>
  </si>
  <si>
    <t>Safran</t>
  </si>
  <si>
    <t>Rolls Royce</t>
  </si>
  <si>
    <t>Thales</t>
  </si>
  <si>
    <t>Dassault</t>
  </si>
  <si>
    <t>Norinco</t>
  </si>
  <si>
    <t>Leonardo</t>
  </si>
  <si>
    <t>RTX US</t>
  </si>
  <si>
    <t>RHM DE</t>
  </si>
  <si>
    <t>Updated</t>
  </si>
  <si>
    <t>Earnings Call</t>
  </si>
  <si>
    <t>Red Cat</t>
  </si>
  <si>
    <t>LMT US</t>
  </si>
  <si>
    <t>2019 E</t>
  </si>
  <si>
    <t>2020 E</t>
  </si>
  <si>
    <t>2021 E</t>
  </si>
  <si>
    <t>2022 E</t>
  </si>
  <si>
    <t>2035 EV/E</t>
  </si>
  <si>
    <t>2024 Rev</t>
  </si>
  <si>
    <t>2024 RevG</t>
  </si>
  <si>
    <t>2024 GM%</t>
  </si>
  <si>
    <t>2024 OM%</t>
  </si>
  <si>
    <t>Unusual Machines</t>
  </si>
  <si>
    <t>UMAC US</t>
  </si>
  <si>
    <t>Drones</t>
  </si>
  <si>
    <t>LDO IT</t>
  </si>
  <si>
    <t>BA UK</t>
  </si>
  <si>
    <t>NOC US</t>
  </si>
  <si>
    <t>HON US</t>
  </si>
  <si>
    <t>AIR FR</t>
  </si>
  <si>
    <t>SAF FR</t>
  </si>
  <si>
    <t>BA US</t>
  </si>
  <si>
    <t>GD US</t>
  </si>
  <si>
    <t>LHX US</t>
  </si>
  <si>
    <t>RR UK</t>
  </si>
  <si>
    <t>HO FR</t>
  </si>
  <si>
    <t>AM FR</t>
  </si>
  <si>
    <t>000065 CH</t>
  </si>
  <si>
    <t>RCAT US</t>
  </si>
  <si>
    <t>2024 EV/R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</si>
</sst>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"/>
    <numFmt numFmtId="165" formatCode="0\x"/>
    <numFmt numFmtId="166" formatCode="[$$-409]#,##0.00"/>
    <numFmt numFmtId="167" formatCode="[$€-2]\ #,##0.00"/>
    <numFmt numFmtId="168" formatCode="0.0\x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5" fillId="2" borderId="1" xfId="0" applyFont="1" applyFill="1" applyBorder="1"/>
    <xf numFmtId="165" fontId="2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1" applyFont="1" applyFill="1" applyBorder="1"/>
    <xf numFmtId="166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" fillId="2" borderId="1" xfId="1" applyFill="1" applyBorder="1"/>
    <xf numFmtId="168" fontId="3" fillId="2" borderId="1" xfId="0" applyNumberFormat="1" applyFont="1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TX.xlsx" TargetMode="External"/><Relationship Id="rId1" Type="http://schemas.openxmlformats.org/officeDocument/2006/relationships/externalLinkPath" Target="RTX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DO.xlsx" TargetMode="External"/><Relationship Id="rId1" Type="http://schemas.openxmlformats.org/officeDocument/2006/relationships/externalLinkPath" Target="LDO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UMAC.xlsx" TargetMode="External"/><Relationship Id="rId1" Type="http://schemas.openxmlformats.org/officeDocument/2006/relationships/externalLinkPath" Target="UMA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A.xlsx" TargetMode="External"/><Relationship Id="rId1" Type="http://schemas.openxmlformats.org/officeDocument/2006/relationships/externalLinkPath" Target="B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HON.xlsx" TargetMode="External"/><Relationship Id="rId1" Type="http://schemas.openxmlformats.org/officeDocument/2006/relationships/externalLinkPath" Target="H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MT.xlsx" TargetMode="External"/><Relationship Id="rId1" Type="http://schemas.openxmlformats.org/officeDocument/2006/relationships/externalLinkPath" Target="LM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IR.xlsx" TargetMode="External"/><Relationship Id="rId1" Type="http://schemas.openxmlformats.org/officeDocument/2006/relationships/externalLinkPath" Target="AI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OC.xlsx" TargetMode="External"/><Relationship Id="rId1" Type="http://schemas.openxmlformats.org/officeDocument/2006/relationships/externalLinkPath" Target="NO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D.xlsx" TargetMode="External"/><Relationship Id="rId1" Type="http://schemas.openxmlformats.org/officeDocument/2006/relationships/externalLinkPath" Target="GD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HM.xlsx" TargetMode="External"/><Relationship Id="rId1" Type="http://schemas.openxmlformats.org/officeDocument/2006/relationships/externalLinkPath" Target="RHM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HX.xlsx" TargetMode="External"/><Relationship Id="rId1" Type="http://schemas.openxmlformats.org/officeDocument/2006/relationships/externalLinkPath" Target="LH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119.35</v>
          </cell>
          <cell r="E3">
            <v>45770</v>
          </cell>
          <cell r="G3">
            <v>45867</v>
          </cell>
        </row>
        <row r="5">
          <cell r="D5">
            <v>159451.6</v>
          </cell>
        </row>
        <row r="8">
          <cell r="D8">
            <v>-36143</v>
          </cell>
        </row>
        <row r="9">
          <cell r="D9">
            <v>195594.6</v>
          </cell>
        </row>
      </sheetData>
      <sheetData sheetId="1">
        <row r="5">
          <cell r="Z5">
            <v>80738</v>
          </cell>
        </row>
        <row r="19">
          <cell r="U19">
            <v>3510</v>
          </cell>
          <cell r="V19">
            <v>-3109</v>
          </cell>
          <cell r="W19">
            <v>3897</v>
          </cell>
          <cell r="X19">
            <v>5216</v>
          </cell>
          <cell r="Y19">
            <v>3195</v>
          </cell>
          <cell r="Z19">
            <v>4774</v>
          </cell>
        </row>
        <row r="25">
          <cell r="Y25">
            <v>2.7521841548140857E-2</v>
          </cell>
          <cell r="Z25">
            <v>0.17147417295414979</v>
          </cell>
        </row>
        <row r="28">
          <cell r="Z28">
            <v>0.19086427704426664</v>
          </cell>
        </row>
        <row r="31">
          <cell r="Z31">
            <v>8.2612896034085559E-2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46.45</v>
          </cell>
          <cell r="E3">
            <v>45736</v>
          </cell>
          <cell r="G3">
            <v>45868</v>
          </cell>
        </row>
        <row r="5">
          <cell r="D5">
            <v>26736.620000000003</v>
          </cell>
        </row>
        <row r="8">
          <cell r="D8">
            <v>-267</v>
          </cell>
        </row>
        <row r="9">
          <cell r="D9">
            <v>27003.620000000003</v>
          </cell>
        </row>
      </sheetData>
      <sheetData sheetId="1">
        <row r="3">
          <cell r="Y3">
            <v>17763</v>
          </cell>
        </row>
        <row r="18">
          <cell r="T18">
            <v>823</v>
          </cell>
          <cell r="U18">
            <v>239</v>
          </cell>
          <cell r="V18">
            <v>586</v>
          </cell>
          <cell r="W18">
            <v>927</v>
          </cell>
          <cell r="X18">
            <v>658</v>
          </cell>
          <cell r="Y18">
            <v>1072</v>
          </cell>
          <cell r="Z18">
            <v>1019.06265</v>
          </cell>
          <cell r="AA18">
            <v>1838.0187149999997</v>
          </cell>
          <cell r="AB18">
            <v>1923.3074602500005</v>
          </cell>
          <cell r="AC18">
            <v>2000.3647039200005</v>
          </cell>
          <cell r="AJ18">
            <v>2320.3893824228699</v>
          </cell>
        </row>
        <row r="22">
          <cell r="X22">
            <v>3.9284986066743688E-2</v>
          </cell>
          <cell r="Y22">
            <v>0.1616637237590739</v>
          </cell>
        </row>
        <row r="23">
          <cell r="Y23">
            <v>0.11349434217193041</v>
          </cell>
        </row>
        <row r="24">
          <cell r="AM24">
            <v>0.08</v>
          </cell>
        </row>
        <row r="25">
          <cell r="Y25">
            <v>6.6430220120475142E-2</v>
          </cell>
        </row>
        <row r="30">
          <cell r="AM30">
            <v>-8.2951850912037273E-2</v>
          </cell>
        </row>
        <row r="31">
          <cell r="AM31" t="str">
            <v>Fairly valued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7.21</v>
          </cell>
          <cell r="E3">
            <v>45736</v>
          </cell>
          <cell r="G3">
            <v>45743</v>
          </cell>
        </row>
        <row r="5">
          <cell r="D5">
            <v>59.843000000000004</v>
          </cell>
        </row>
        <row r="8">
          <cell r="D8">
            <v>-1.3</v>
          </cell>
        </row>
        <row r="9">
          <cell r="D9">
            <v>61.143000000000001</v>
          </cell>
        </row>
      </sheetData>
      <sheetData sheetId="1">
        <row r="3">
          <cell r="Q3">
            <v>5.5</v>
          </cell>
        </row>
        <row r="20">
          <cell r="P20">
            <v>-1.4</v>
          </cell>
          <cell r="Q20">
            <v>-6.3999999999999995</v>
          </cell>
          <cell r="R20">
            <v>-7.4699999999999989</v>
          </cell>
          <cell r="S20">
            <v>-9.5558799999999984</v>
          </cell>
          <cell r="T20">
            <v>-10.959568000000001</v>
          </cell>
          <cell r="U20">
            <v>-11.357623199999999</v>
          </cell>
          <cell r="AB20">
            <v>36.180678358156783</v>
          </cell>
        </row>
        <row r="26">
          <cell r="Q26">
            <v>0.27272727272727271</v>
          </cell>
        </row>
        <row r="27">
          <cell r="AF27">
            <v>0.13</v>
          </cell>
        </row>
        <row r="30">
          <cell r="Q30">
            <v>-1.0363636363636362</v>
          </cell>
        </row>
        <row r="33">
          <cell r="AF33">
            <v>-0.23973616282793675</v>
          </cell>
        </row>
        <row r="34">
          <cell r="AF34" t="str">
            <v>Overvalued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174.98</v>
          </cell>
          <cell r="E3">
            <v>45770</v>
          </cell>
          <cell r="G3">
            <v>45861</v>
          </cell>
        </row>
        <row r="5">
          <cell r="D5">
            <v>131829.932</v>
          </cell>
        </row>
        <row r="8">
          <cell r="D8">
            <v>-29944</v>
          </cell>
        </row>
        <row r="9">
          <cell r="D9">
            <v>161773.932</v>
          </cell>
        </row>
      </sheetData>
      <sheetData sheetId="1">
        <row r="5">
          <cell r="AU5">
            <v>66517</v>
          </cell>
        </row>
        <row r="22">
          <cell r="AP22">
            <v>-636</v>
          </cell>
          <cell r="AQ22">
            <v>-11873</v>
          </cell>
          <cell r="AR22">
            <v>-4202</v>
          </cell>
          <cell r="AS22">
            <v>-4935</v>
          </cell>
          <cell r="AT22">
            <v>-2222</v>
          </cell>
          <cell r="AU22">
            <v>-11875</v>
          </cell>
        </row>
        <row r="28">
          <cell r="AT28">
            <v>0.16793778525102088</v>
          </cell>
          <cell r="AU28">
            <v>-0.14495976553461709</v>
          </cell>
        </row>
        <row r="31">
          <cell r="AU31">
            <v>-2.9932197784025137E-2</v>
          </cell>
        </row>
        <row r="34">
          <cell r="AU34">
            <v>-0.16096636949952645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198.32</v>
          </cell>
          <cell r="E3">
            <v>45770</v>
          </cell>
          <cell r="G3">
            <v>45776</v>
          </cell>
        </row>
        <row r="5">
          <cell r="D5">
            <v>128888.16799999999</v>
          </cell>
        </row>
        <row r="8">
          <cell r="D8">
            <v>-20146</v>
          </cell>
        </row>
        <row r="9">
          <cell r="D9">
            <v>149034.16800000001</v>
          </cell>
        </row>
      </sheetData>
      <sheetData sheetId="1">
        <row r="5">
          <cell r="Y5">
            <v>38498</v>
          </cell>
        </row>
        <row r="21">
          <cell r="T21">
            <v>6143</v>
          </cell>
          <cell r="U21">
            <v>4779</v>
          </cell>
          <cell r="V21">
            <v>5542</v>
          </cell>
          <cell r="W21">
            <v>4966</v>
          </cell>
          <cell r="X21">
            <v>5658</v>
          </cell>
          <cell r="Y21">
            <v>5705</v>
          </cell>
        </row>
        <row r="27">
          <cell r="X27">
            <v>3.3722438391699194E-2</v>
          </cell>
          <cell r="Y27">
            <v>5.0079100976487823E-2</v>
          </cell>
        </row>
        <row r="30">
          <cell r="Y30">
            <v>0.38085095329627511</v>
          </cell>
        </row>
        <row r="33">
          <cell r="Y33">
            <v>0.19328276793599666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462.5</v>
          </cell>
          <cell r="E3">
            <v>45723</v>
          </cell>
          <cell r="G3">
            <v>45769</v>
          </cell>
        </row>
        <row r="5">
          <cell r="D5">
            <v>108872.5</v>
          </cell>
        </row>
        <row r="8">
          <cell r="D8">
            <v>-17787</v>
          </cell>
        </row>
        <row r="9">
          <cell r="D9">
            <v>126659.5</v>
          </cell>
        </row>
      </sheetData>
      <sheetData sheetId="1">
        <row r="5">
          <cell r="AC5">
            <v>71043</v>
          </cell>
        </row>
        <row r="21">
          <cell r="X21">
            <v>6230</v>
          </cell>
          <cell r="Y21">
            <v>6888</v>
          </cell>
          <cell r="Z21">
            <v>6315</v>
          </cell>
          <cell r="AA21">
            <v>5732</v>
          </cell>
          <cell r="AB21">
            <v>6920</v>
          </cell>
          <cell r="AC21">
            <v>5336</v>
          </cell>
        </row>
        <row r="27">
          <cell r="AB27">
            <v>2.4051285160038738E-2</v>
          </cell>
          <cell r="AC27">
            <v>5.1382989744120922E-2</v>
          </cell>
        </row>
        <row r="30">
          <cell r="AC30">
            <v>8.4089917373984774E-2</v>
          </cell>
        </row>
        <row r="31">
          <cell r="AC31">
            <v>9.8714862829553926E-2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137.16</v>
          </cell>
          <cell r="E3">
            <v>45771</v>
          </cell>
          <cell r="G3">
            <v>45777</v>
          </cell>
        </row>
        <row r="5">
          <cell r="D5">
            <v>108356.4</v>
          </cell>
        </row>
        <row r="8">
          <cell r="D8">
            <v>724</v>
          </cell>
        </row>
        <row r="9">
          <cell r="D9">
            <v>107632.4</v>
          </cell>
        </row>
      </sheetData>
      <sheetData sheetId="1">
        <row r="3">
          <cell r="J3">
            <v>69230</v>
          </cell>
        </row>
        <row r="22">
          <cell r="E22">
            <v>-1362</v>
          </cell>
          <cell r="F22">
            <v>-1133</v>
          </cell>
          <cell r="G22">
            <v>4213</v>
          </cell>
          <cell r="H22">
            <v>4247</v>
          </cell>
          <cell r="I22">
            <v>3789</v>
          </cell>
          <cell r="J22">
            <v>4232</v>
          </cell>
        </row>
        <row r="26">
          <cell r="I26">
            <v>0.11372802613889688</v>
          </cell>
          <cell r="J26">
            <v>5.7818659658344318E-2</v>
          </cell>
        </row>
        <row r="27">
          <cell r="J27">
            <v>0.15419615773508594</v>
          </cell>
        </row>
        <row r="31">
          <cell r="J31">
            <v>6.9391882132023686E-2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472.65</v>
          </cell>
          <cell r="E3">
            <v>45771</v>
          </cell>
          <cell r="G3">
            <v>45862</v>
          </cell>
        </row>
        <row r="5">
          <cell r="D5">
            <v>68014.335000000006</v>
          </cell>
        </row>
        <row r="8">
          <cell r="D8">
            <v>-12482</v>
          </cell>
        </row>
        <row r="9">
          <cell r="D9">
            <v>80496.335000000006</v>
          </cell>
        </row>
      </sheetData>
      <sheetData sheetId="1">
        <row r="5">
          <cell r="Y5">
            <v>41033</v>
          </cell>
        </row>
        <row r="18">
          <cell r="T18">
            <v>2248</v>
          </cell>
          <cell r="U18">
            <v>3189</v>
          </cell>
          <cell r="V18">
            <v>7005</v>
          </cell>
          <cell r="W18">
            <v>4896</v>
          </cell>
          <cell r="X18">
            <v>2056</v>
          </cell>
          <cell r="Y18">
            <v>4174</v>
          </cell>
        </row>
        <row r="24">
          <cell r="X24">
            <v>7.3438609912026775E-2</v>
          </cell>
          <cell r="Y24">
            <v>4.4362433189106598E-2</v>
          </cell>
        </row>
        <row r="27">
          <cell r="Y27">
            <v>0.20378719567177639</v>
          </cell>
        </row>
        <row r="29">
          <cell r="Y29">
            <v>0.10649964662588648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265.69</v>
          </cell>
          <cell r="E3">
            <v>45771</v>
          </cell>
          <cell r="G3">
            <v>45861</v>
          </cell>
        </row>
        <row r="5">
          <cell r="D5">
            <v>71311.195999999996</v>
          </cell>
        </row>
        <row r="8">
          <cell r="D8">
            <v>-8367</v>
          </cell>
        </row>
        <row r="9">
          <cell r="D9">
            <v>79678.195999999996</v>
          </cell>
        </row>
      </sheetData>
      <sheetData sheetId="1">
        <row r="5">
          <cell r="AB5">
            <v>47716</v>
          </cell>
        </row>
        <row r="16">
          <cell r="W16">
            <v>3484</v>
          </cell>
          <cell r="X16">
            <v>3167</v>
          </cell>
          <cell r="Y16">
            <v>3257</v>
          </cell>
          <cell r="Z16">
            <v>3390</v>
          </cell>
          <cell r="AA16">
            <v>3315</v>
          </cell>
          <cell r="AB16">
            <v>3782</v>
          </cell>
        </row>
        <row r="22">
          <cell r="AA22">
            <v>7.2702819296064147E-2</v>
          </cell>
          <cell r="AB22">
            <v>0.12878501135503417</v>
          </cell>
        </row>
        <row r="25">
          <cell r="AB25">
            <v>0.15432978455863861</v>
          </cell>
        </row>
        <row r="27">
          <cell r="AB27">
            <v>0.10051135887333389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1417</v>
          </cell>
          <cell r="F3">
            <v>45734</v>
          </cell>
          <cell r="H3">
            <v>45455</v>
          </cell>
        </row>
        <row r="5">
          <cell r="D5">
            <v>61540.31</v>
          </cell>
        </row>
        <row r="8">
          <cell r="D8">
            <v>-893</v>
          </cell>
        </row>
        <row r="9">
          <cell r="D9">
            <v>62433.31</v>
          </cell>
        </row>
      </sheetData>
      <sheetData sheetId="1">
        <row r="18">
          <cell r="AC18">
            <v>7175</v>
          </cell>
        </row>
        <row r="37">
          <cell r="Z37">
            <v>-27</v>
          </cell>
          <cell r="AA37">
            <v>291</v>
          </cell>
          <cell r="AB37">
            <v>476</v>
          </cell>
          <cell r="AC37">
            <v>534</v>
          </cell>
          <cell r="AD37">
            <v>717</v>
          </cell>
          <cell r="AE37">
            <v>1183.5057150000023</v>
          </cell>
          <cell r="AF37">
            <v>1446.6646025</v>
          </cell>
          <cell r="AG37">
            <v>1594.3621815874999</v>
          </cell>
          <cell r="AN37">
            <v>1930.9939382407565</v>
          </cell>
        </row>
        <row r="46">
          <cell r="AS46">
            <v>7.0000000000000007E-2</v>
          </cell>
        </row>
        <row r="49">
          <cell r="AB49">
            <v>0.1327089591800672</v>
          </cell>
          <cell r="AC49">
            <v>0.11934477379095165</v>
          </cell>
        </row>
        <row r="51">
          <cell r="AC51">
            <v>0.26327526132404183</v>
          </cell>
        </row>
        <row r="52">
          <cell r="AS52">
            <v>-0.62242636061307977</v>
          </cell>
        </row>
        <row r="53">
          <cell r="AS53" t="str">
            <v>Heavily overvalued</v>
          </cell>
        </row>
        <row r="56">
          <cell r="AC56">
            <v>0.11777003484320557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212.27</v>
          </cell>
          <cell r="E3">
            <v>45771</v>
          </cell>
          <cell r="G3">
            <v>45771</v>
          </cell>
        </row>
        <row r="5">
          <cell r="D5">
            <v>39970.441000000006</v>
          </cell>
        </row>
        <row r="8">
          <cell r="D8">
            <v>-11621</v>
          </cell>
        </row>
        <row r="9">
          <cell r="D9">
            <v>51591.441000000006</v>
          </cell>
        </row>
      </sheetData>
      <sheetData sheetId="1">
        <row r="5">
          <cell r="X5">
            <v>21325</v>
          </cell>
        </row>
        <row r="18">
          <cell r="T18">
            <v>1119</v>
          </cell>
          <cell r="U18">
            <v>1846</v>
          </cell>
          <cell r="V18">
            <v>1062</v>
          </cell>
          <cell r="W18">
            <v>1227</v>
          </cell>
          <cell r="X18">
            <v>1502</v>
          </cell>
        </row>
        <row r="24">
          <cell r="W24">
            <v>0.13814324229281438</v>
          </cell>
          <cell r="X24">
            <v>9.815129512333276E-2</v>
          </cell>
        </row>
        <row r="27">
          <cell r="X27">
            <v>0.25903868698710436</v>
          </cell>
        </row>
        <row r="29">
          <cell r="X29">
            <v>8.9941383352872217E-2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D.xlsx" TargetMode="External"/><Relationship Id="rId3" Type="http://schemas.openxmlformats.org/officeDocument/2006/relationships/hyperlink" Target="LMT.xlsx" TargetMode="External"/><Relationship Id="rId7" Type="http://schemas.openxmlformats.org/officeDocument/2006/relationships/hyperlink" Target="HON.xlsx" TargetMode="External"/><Relationship Id="rId2" Type="http://schemas.openxmlformats.org/officeDocument/2006/relationships/hyperlink" Target="RHM.xlsx" TargetMode="External"/><Relationship Id="rId1" Type="http://schemas.openxmlformats.org/officeDocument/2006/relationships/hyperlink" Target="RTX.xlsx" TargetMode="External"/><Relationship Id="rId6" Type="http://schemas.openxmlformats.org/officeDocument/2006/relationships/hyperlink" Target="BA.xlsx" TargetMode="External"/><Relationship Id="rId11" Type="http://schemas.openxmlformats.org/officeDocument/2006/relationships/hyperlink" Target="AIR.xlsx" TargetMode="External"/><Relationship Id="rId5" Type="http://schemas.openxmlformats.org/officeDocument/2006/relationships/hyperlink" Target="LDO.xlsx" TargetMode="External"/><Relationship Id="rId10" Type="http://schemas.openxmlformats.org/officeDocument/2006/relationships/hyperlink" Target="LHX.xlsx" TargetMode="External"/><Relationship Id="rId4" Type="http://schemas.openxmlformats.org/officeDocument/2006/relationships/hyperlink" Target="UMAC.xlsx" TargetMode="External"/><Relationship Id="rId9" Type="http://schemas.openxmlformats.org/officeDocument/2006/relationships/hyperlink" Target="NOC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B355-3143-44BC-BC97-6E84672F8EDE}">
  <dimension ref="B2:AK21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4.4" x14ac:dyDescent="0.3"/>
  <cols>
    <col min="1" max="1" width="8.88671875" style="5"/>
    <col min="2" max="2" width="17.21875" style="5" bestFit="1" customWidth="1"/>
    <col min="3" max="3" width="9.77734375" style="11" bestFit="1" customWidth="1"/>
    <col min="4" max="4" width="9.44140625" style="11" bestFit="1" customWidth="1"/>
    <col min="5" max="25" width="8.88671875" style="11"/>
    <col min="26" max="27" width="9.77734375" style="11" bestFit="1" customWidth="1"/>
    <col min="28" max="28" width="9.88671875" style="11" bestFit="1" customWidth="1"/>
    <col min="29" max="29" width="10" style="11" bestFit="1" customWidth="1"/>
    <col min="30" max="31" width="8.33203125" style="11" bestFit="1" customWidth="1"/>
    <col min="32" max="32" width="17.33203125" style="11" customWidth="1"/>
    <col min="33" max="34" width="8.44140625" style="11" bestFit="1" customWidth="1"/>
    <col min="35" max="35" width="8.88671875" style="5"/>
    <col min="36" max="36" width="10.5546875" style="11" bestFit="1" customWidth="1"/>
    <col min="37" max="37" width="11.5546875" style="11" bestFit="1" customWidth="1"/>
    <col min="38" max="16384" width="8.88671875" style="5"/>
  </cols>
  <sheetData>
    <row r="2" spans="2:37" x14ac:dyDescent="0.3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50</v>
      </c>
      <c r="X2" s="4" t="s">
        <v>51</v>
      </c>
      <c r="Y2" s="4" t="s">
        <v>72</v>
      </c>
      <c r="Z2" s="2" t="s">
        <v>17</v>
      </c>
      <c r="AA2" s="2" t="s">
        <v>52</v>
      </c>
      <c r="AB2" s="2" t="s">
        <v>53</v>
      </c>
      <c r="AC2" s="2" t="s">
        <v>54</v>
      </c>
      <c r="AD2" s="2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J2" s="2" t="s">
        <v>42</v>
      </c>
      <c r="AK2" s="2" t="s">
        <v>43</v>
      </c>
    </row>
    <row r="3" spans="2:37" x14ac:dyDescent="0.3">
      <c r="B3" s="6" t="s">
        <v>23</v>
      </c>
      <c r="C3" s="2"/>
      <c r="D3" s="2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7">
        <f t="shared" ref="R3:Y3" si="0">TRIMMEAN(R4:R1048576,80%)</f>
        <v>25.311465398668286</v>
      </c>
      <c r="S3" s="7">
        <f t="shared" si="0"/>
        <v>56.78711737556015</v>
      </c>
      <c r="T3" s="7">
        <f t="shared" si="0"/>
        <v>33.722279574921885</v>
      </c>
      <c r="U3" s="7">
        <f t="shared" si="0"/>
        <v>28.59846337341207</v>
      </c>
      <c r="V3" s="7">
        <f t="shared" si="0"/>
        <v>26.32907424754935</v>
      </c>
      <c r="W3" s="7">
        <f t="shared" si="0"/>
        <v>11.637538166893249</v>
      </c>
      <c r="X3" s="8"/>
      <c r="Y3" s="21">
        <f t="shared" si="0"/>
        <v>2.2678747573429807</v>
      </c>
      <c r="Z3" s="9">
        <f t="shared" ref="Z3:AE3" si="1">TRIMMEAN(Z4:Z1048576,80%)</f>
        <v>7.3070714604045461E-2</v>
      </c>
      <c r="AA3" s="9">
        <f t="shared" si="1"/>
        <v>7.7984977390838539E-2</v>
      </c>
      <c r="AB3" s="9">
        <f t="shared" si="1"/>
        <v>0.18299375242489391</v>
      </c>
      <c r="AC3" s="9">
        <f t="shared" si="1"/>
        <v>9.0423047405503901E-2</v>
      </c>
      <c r="AD3" s="9">
        <f t="shared" si="1"/>
        <v>0.08</v>
      </c>
      <c r="AE3" s="9">
        <f t="shared" si="1"/>
        <v>-0.23973616282793675</v>
      </c>
      <c r="AF3" s="10" t="e">
        <f>INDEX(AF4:AF52,MODE(MATCH(AF4:AF52,AF4:AF52,0)))</f>
        <v>#N/A</v>
      </c>
      <c r="AG3" s="2"/>
    </row>
    <row r="4" spans="2:37" x14ac:dyDescent="0.3">
      <c r="B4" s="12" t="s">
        <v>24</v>
      </c>
      <c r="C4" s="11" t="s">
        <v>40</v>
      </c>
      <c r="D4" s="13">
        <f>[1]Main!$D$3</f>
        <v>119.35</v>
      </c>
      <c r="E4" s="14">
        <f>[1]Main!$D$5</f>
        <v>159451.6</v>
      </c>
      <c r="F4" s="14">
        <f>[1]Main!$D$8</f>
        <v>-36143</v>
      </c>
      <c r="G4" s="14">
        <f>[1]Main!$D$9</f>
        <v>195594.6</v>
      </c>
      <c r="H4" s="14">
        <f>[1]Model!U$19</f>
        <v>3510</v>
      </c>
      <c r="I4" s="14">
        <f>[1]Model!V$19</f>
        <v>-3109</v>
      </c>
      <c r="J4" s="14">
        <f>[1]Model!W$19</f>
        <v>3897</v>
      </c>
      <c r="K4" s="14">
        <f>[1]Model!X$19</f>
        <v>5216</v>
      </c>
      <c r="L4" s="14">
        <f>[1]Model!Y$19</f>
        <v>3195</v>
      </c>
      <c r="M4" s="14">
        <f>[1]Model!Z$19</f>
        <v>4774</v>
      </c>
      <c r="N4" s="14">
        <f>[1]Model!AA$19</f>
        <v>0</v>
      </c>
      <c r="O4" s="14">
        <f>[1]Model!AB$19</f>
        <v>0</v>
      </c>
      <c r="P4" s="14">
        <f>[1]Model!AC$19</f>
        <v>0</v>
      </c>
      <c r="Q4" s="14">
        <f>[1]Model!AD$19</f>
        <v>0</v>
      </c>
      <c r="R4" s="15">
        <f t="shared" ref="R4" si="2">$G4/M4</f>
        <v>40.97080016757436</v>
      </c>
      <c r="S4" s="15"/>
      <c r="T4" s="15"/>
      <c r="U4" s="15"/>
      <c r="V4" s="15"/>
      <c r="X4" s="14">
        <f>[1]Model!$Z$5</f>
        <v>80738</v>
      </c>
      <c r="Y4" s="20">
        <f>G4/X4</f>
        <v>2.422584161113726</v>
      </c>
      <c r="Z4" s="16">
        <f>[1]Model!$Y$25</f>
        <v>2.7521841548140857E-2</v>
      </c>
      <c r="AA4" s="16">
        <f>[1]Model!$Z$25</f>
        <v>0.17147417295414979</v>
      </c>
      <c r="AB4" s="16">
        <f>[1]Model!$Z$28</f>
        <v>0.19086427704426664</v>
      </c>
      <c r="AC4" s="16">
        <f>[1]Model!$Z$31</f>
        <v>8.2612896034085559E-2</v>
      </c>
      <c r="AH4" s="11">
        <v>1922</v>
      </c>
      <c r="AJ4" s="18">
        <f>[1]Main!$E$3</f>
        <v>45770</v>
      </c>
      <c r="AK4" s="18">
        <f>[1]Main!$G$3</f>
        <v>45867</v>
      </c>
    </row>
    <row r="5" spans="2:37" x14ac:dyDescent="0.3">
      <c r="B5" s="12" t="s">
        <v>30</v>
      </c>
      <c r="C5" s="11" t="s">
        <v>64</v>
      </c>
      <c r="D5" s="13">
        <f>[2]Main!$D$3</f>
        <v>174.98</v>
      </c>
      <c r="E5" s="14">
        <f>[2]Main!$D$5</f>
        <v>131829.932</v>
      </c>
      <c r="F5" s="14">
        <f>[2]Main!$D$8</f>
        <v>-29944</v>
      </c>
      <c r="G5" s="14">
        <f>[2]Main!$D$9</f>
        <v>161773.932</v>
      </c>
      <c r="H5" s="14">
        <f>[2]Model!AP$22</f>
        <v>-636</v>
      </c>
      <c r="I5" s="14">
        <f>[2]Model!AQ$22</f>
        <v>-11873</v>
      </c>
      <c r="J5" s="14">
        <f>[2]Model!AR$22</f>
        <v>-4202</v>
      </c>
      <c r="K5" s="14">
        <f>[2]Model!AS$22</f>
        <v>-4935</v>
      </c>
      <c r="L5" s="14">
        <f>[2]Model!AT$22</f>
        <v>-2222</v>
      </c>
      <c r="M5" s="14">
        <f>[2]Model!AU$22</f>
        <v>-11875</v>
      </c>
      <c r="N5" s="14">
        <f>[2]Model!AV$22</f>
        <v>0</v>
      </c>
      <c r="O5" s="14">
        <f>[2]Model!AW$22</f>
        <v>0</v>
      </c>
      <c r="P5" s="14">
        <f>[2]Model!AX$22</f>
        <v>0</v>
      </c>
      <c r="Q5" s="14">
        <f>[2]Model!AY$22</f>
        <v>0</v>
      </c>
      <c r="R5" s="15">
        <f>$G5/M5</f>
        <v>-13.623067957894737</v>
      </c>
      <c r="X5" s="14">
        <f>[2]Model!$AU$5</f>
        <v>66517</v>
      </c>
      <c r="Y5" s="20">
        <f t="shared" ref="Y5:Y8" si="3">G5/X5</f>
        <v>2.4320689748485349</v>
      </c>
      <c r="Z5" s="16">
        <f>[2]Model!$AT$28</f>
        <v>0.16793778525102088</v>
      </c>
      <c r="AA5" s="16">
        <f>[2]Model!$AU$28</f>
        <v>-0.14495976553461709</v>
      </c>
      <c r="AB5" s="16">
        <f>[2]Model!$AU$31</f>
        <v>-2.9932197784025137E-2</v>
      </c>
      <c r="AC5" s="16">
        <f>[2]Model!$AU$34</f>
        <v>-0.16096636949952645</v>
      </c>
      <c r="AH5" s="11">
        <v>1916</v>
      </c>
      <c r="AJ5" s="18">
        <f>[2]Main!$E$3</f>
        <v>45770</v>
      </c>
      <c r="AK5" s="18">
        <f>[2]Main!$G$3</f>
        <v>45861</v>
      </c>
    </row>
    <row r="6" spans="2:37" x14ac:dyDescent="0.3">
      <c r="B6" s="19" t="s">
        <v>32</v>
      </c>
      <c r="C6" s="11" t="s">
        <v>61</v>
      </c>
      <c r="D6" s="13">
        <f>[3]Main!$D$3</f>
        <v>198.32</v>
      </c>
      <c r="E6" s="14">
        <f>[3]Main!$D$5</f>
        <v>128888.16799999999</v>
      </c>
      <c r="F6" s="14">
        <f>[3]Main!$D$8</f>
        <v>-20146</v>
      </c>
      <c r="G6" s="14">
        <f>[3]Main!$D$9</f>
        <v>149034.16800000001</v>
      </c>
      <c r="H6" s="14">
        <f>[3]Model!T$21</f>
        <v>6143</v>
      </c>
      <c r="I6" s="14">
        <f>[3]Model!U$21</f>
        <v>4779</v>
      </c>
      <c r="J6" s="14">
        <f>[3]Model!V$21</f>
        <v>5542</v>
      </c>
      <c r="K6" s="14">
        <f>[3]Model!W$21</f>
        <v>4966</v>
      </c>
      <c r="L6" s="14">
        <f>[3]Model!X$21</f>
        <v>5658</v>
      </c>
      <c r="M6" s="14">
        <f>[3]Model!Y$21</f>
        <v>5705</v>
      </c>
      <c r="N6" s="14">
        <f>[3]Model!Z$21</f>
        <v>0</v>
      </c>
      <c r="O6" s="14">
        <f>[3]Model!AA$21</f>
        <v>0</v>
      </c>
      <c r="P6" s="14">
        <f>[3]Model!AB$21</f>
        <v>0</v>
      </c>
      <c r="Q6" s="14">
        <f>[3]Model!AC$21</f>
        <v>0</v>
      </c>
      <c r="R6" s="15">
        <f>$G6/M6</f>
        <v>26.123429973707275</v>
      </c>
      <c r="X6" s="14">
        <f>[3]Model!$Y$5</f>
        <v>38498</v>
      </c>
      <c r="Y6" s="20">
        <f t="shared" si="3"/>
        <v>3.8712184529066445</v>
      </c>
      <c r="Z6" s="16">
        <f>[3]Model!X$27</f>
        <v>3.3722438391699194E-2</v>
      </c>
      <c r="AA6" s="16">
        <f>[3]Model!Y$27</f>
        <v>5.0079100976487823E-2</v>
      </c>
      <c r="AB6" s="16">
        <f>[3]Model!$Y$30</f>
        <v>0.38085095329627511</v>
      </c>
      <c r="AC6" s="16">
        <f>[3]Model!$Y$33</f>
        <v>0.19328276793599666</v>
      </c>
      <c r="AH6" s="11">
        <v>1906</v>
      </c>
      <c r="AJ6" s="18">
        <f>[3]Main!$E$3</f>
        <v>45770</v>
      </c>
      <c r="AK6" s="18">
        <f>[3]Main!$G$3</f>
        <v>45776</v>
      </c>
    </row>
    <row r="7" spans="2:37" x14ac:dyDescent="0.3">
      <c r="B7" s="12" t="s">
        <v>25</v>
      </c>
      <c r="C7" s="11" t="s">
        <v>45</v>
      </c>
      <c r="D7" s="13">
        <f>[4]Main!$D$3</f>
        <v>462.5</v>
      </c>
      <c r="E7" s="14">
        <f>[4]Main!$D$5</f>
        <v>108872.5</v>
      </c>
      <c r="F7" s="14">
        <f>[4]Main!$D$8</f>
        <v>-17787</v>
      </c>
      <c r="G7" s="14">
        <f>[4]Main!$D$9</f>
        <v>126659.5</v>
      </c>
      <c r="H7" s="14">
        <f>[4]Model!X$21</f>
        <v>6230</v>
      </c>
      <c r="I7" s="14">
        <f>[4]Model!Y$21</f>
        <v>6888</v>
      </c>
      <c r="J7" s="14">
        <f>[4]Model!Z$21</f>
        <v>6315</v>
      </c>
      <c r="K7" s="14">
        <f>[4]Model!AA$21</f>
        <v>5732</v>
      </c>
      <c r="L7" s="14">
        <f>[4]Model!AB$21</f>
        <v>6920</v>
      </c>
      <c r="M7" s="14">
        <f>[4]Model!AC$21</f>
        <v>5336</v>
      </c>
      <c r="N7" s="14">
        <f>[4]Model!AD$21</f>
        <v>0</v>
      </c>
      <c r="O7" s="14">
        <f>[4]Model!AE$21</f>
        <v>0</v>
      </c>
      <c r="P7" s="14">
        <f>[4]Model!AF$21</f>
        <v>0</v>
      </c>
      <c r="Q7" s="14">
        <f>[4]Model!AG$21</f>
        <v>0</v>
      </c>
      <c r="R7" s="15">
        <f t="shared" ref="R7:R8" si="4">$G7/M7</f>
        <v>23.736787856071963</v>
      </c>
      <c r="S7" s="15"/>
      <c r="T7" s="15"/>
      <c r="U7" s="15"/>
      <c r="V7" s="15"/>
      <c r="X7" s="14">
        <f>[4]Model!$AC$5</f>
        <v>71043</v>
      </c>
      <c r="Y7" s="20">
        <f t="shared" si="3"/>
        <v>1.7828568613374998</v>
      </c>
      <c r="Z7" s="16">
        <f>[4]Model!$AB$27</f>
        <v>2.4051285160038738E-2</v>
      </c>
      <c r="AA7" s="16">
        <f>[4]Model!$AC$27</f>
        <v>5.1382989744120922E-2</v>
      </c>
      <c r="AB7" s="16">
        <f>[4]Model!$AC$30</f>
        <v>8.4089917373984774E-2</v>
      </c>
      <c r="AC7" s="16">
        <f>[4]Model!$AC$31</f>
        <v>9.8714862829553926E-2</v>
      </c>
      <c r="AH7" s="11">
        <v>1912</v>
      </c>
      <c r="AJ7" s="18">
        <f>[4]Main!$E$3</f>
        <v>45723</v>
      </c>
      <c r="AK7" s="18">
        <f>[4]Main!$G$3</f>
        <v>45769</v>
      </c>
    </row>
    <row r="8" spans="2:37" x14ac:dyDescent="0.3">
      <c r="B8" s="19" t="s">
        <v>33</v>
      </c>
      <c r="C8" s="11" t="s">
        <v>62</v>
      </c>
      <c r="D8" s="11">
        <f>[5]Main!$D$3</f>
        <v>137.16</v>
      </c>
      <c r="E8" s="14">
        <f>[5]Main!$D$5</f>
        <v>108356.4</v>
      </c>
      <c r="F8" s="14">
        <f>[5]Main!$D$8</f>
        <v>724</v>
      </c>
      <c r="G8" s="14">
        <f>[5]Main!$D$9</f>
        <v>107632.4</v>
      </c>
      <c r="H8" s="14">
        <f>[5]Model!E$22</f>
        <v>-1362</v>
      </c>
      <c r="I8" s="14">
        <f>[5]Model!F$22</f>
        <v>-1133</v>
      </c>
      <c r="J8" s="14">
        <f>[5]Model!G$22</f>
        <v>4213</v>
      </c>
      <c r="K8" s="14">
        <f>[5]Model!H$22</f>
        <v>4247</v>
      </c>
      <c r="L8" s="14">
        <f>[5]Model!I$22</f>
        <v>3789</v>
      </c>
      <c r="M8" s="14">
        <f>[5]Model!J$22</f>
        <v>4232</v>
      </c>
      <c r="N8" s="14">
        <f>[5]Model!K$22</f>
        <v>0</v>
      </c>
      <c r="O8" s="14">
        <f>[5]Model!L$22</f>
        <v>0</v>
      </c>
      <c r="P8" s="14">
        <f>[5]Model!M$22</f>
        <v>0</v>
      </c>
      <c r="Q8" s="14">
        <f>[5]Model!N$22</f>
        <v>0</v>
      </c>
      <c r="R8" s="15">
        <f t="shared" si="4"/>
        <v>25.432986767485822</v>
      </c>
      <c r="X8" s="14">
        <f>[5]Model!$J$3</f>
        <v>69230</v>
      </c>
      <c r="Y8" s="20">
        <f t="shared" si="3"/>
        <v>1.5547074967499639</v>
      </c>
      <c r="Z8" s="16">
        <f>[5]Model!$I$26</f>
        <v>0.11372802613889688</v>
      </c>
      <c r="AA8" s="16">
        <f>[5]Model!$J$26</f>
        <v>5.7818659658344318E-2</v>
      </c>
      <c r="AB8" s="16">
        <f>[5]Model!$J$27</f>
        <v>0.15419615773508594</v>
      </c>
      <c r="AC8" s="16">
        <f>[5]Model!$J$31</f>
        <v>6.9391882132023686E-2</v>
      </c>
      <c r="AH8" s="11">
        <v>1998</v>
      </c>
      <c r="AJ8" s="18">
        <f>[5]Main!$E$3</f>
        <v>45771</v>
      </c>
      <c r="AK8" s="18">
        <f>[5]Main!$G$3</f>
        <v>45777</v>
      </c>
    </row>
    <row r="9" spans="2:37" x14ac:dyDescent="0.3">
      <c r="B9" s="5" t="s">
        <v>34</v>
      </c>
      <c r="C9" s="11" t="s">
        <v>63</v>
      </c>
    </row>
    <row r="10" spans="2:37" x14ac:dyDescent="0.3">
      <c r="B10" s="19" t="s">
        <v>26</v>
      </c>
      <c r="C10" s="11" t="s">
        <v>60</v>
      </c>
      <c r="D10" s="13">
        <f>[6]Main!$D$3</f>
        <v>472.65</v>
      </c>
      <c r="E10" s="14">
        <f>[6]Main!$D$5</f>
        <v>68014.335000000006</v>
      </c>
      <c r="F10" s="14">
        <f>[6]Main!$D$8</f>
        <v>-12482</v>
      </c>
      <c r="G10" s="14">
        <f>[6]Main!$D$9</f>
        <v>80496.335000000006</v>
      </c>
      <c r="H10" s="14">
        <f>[6]Model!T$18</f>
        <v>2248</v>
      </c>
      <c r="I10" s="14">
        <f>[6]Model!U$18</f>
        <v>3189</v>
      </c>
      <c r="J10" s="14">
        <f>[6]Model!V$18</f>
        <v>7005</v>
      </c>
      <c r="K10" s="14">
        <f>[6]Model!W$18</f>
        <v>4896</v>
      </c>
      <c r="L10" s="14">
        <f>[6]Model!X$18</f>
        <v>2056</v>
      </c>
      <c r="M10" s="14">
        <f>[6]Model!Y$18</f>
        <v>4174</v>
      </c>
      <c r="N10" s="14">
        <f>[6]Model!Z$18</f>
        <v>0</v>
      </c>
      <c r="O10" s="14">
        <f>[6]Model!AA$18</f>
        <v>0</v>
      </c>
      <c r="P10" s="14">
        <f>[6]Model!AB$18</f>
        <v>0</v>
      </c>
      <c r="Q10" s="14">
        <f>[6]Model!AC$18</f>
        <v>0</v>
      </c>
      <c r="R10" s="15">
        <f>$G10/M10</f>
        <v>19.285178485864879</v>
      </c>
      <c r="X10" s="14">
        <f>[6]Model!$Y$5</f>
        <v>41033</v>
      </c>
      <c r="Y10" s="20">
        <f t="shared" ref="Y10:Y11" si="5">G10/X10</f>
        <v>1.961746277386494</v>
      </c>
      <c r="Z10" s="16">
        <f>[6]Model!X$24</f>
        <v>7.3438609912026775E-2</v>
      </c>
      <c r="AA10" s="16">
        <f>[6]Model!Y$24</f>
        <v>4.4362433189106598E-2</v>
      </c>
      <c r="AB10" s="16">
        <f>[6]Model!$Y$27</f>
        <v>0.20378719567177639</v>
      </c>
      <c r="AC10" s="16">
        <f>[6]Model!$Y$29</f>
        <v>0.10649964662588648</v>
      </c>
      <c r="AH10" s="11">
        <v>1939</v>
      </c>
      <c r="AJ10" s="18">
        <f>[6]Main!$E$3</f>
        <v>45771</v>
      </c>
      <c r="AK10" s="18">
        <f>[6]Main!$G$3</f>
        <v>45862</v>
      </c>
    </row>
    <row r="11" spans="2:37" x14ac:dyDescent="0.3">
      <c r="B11" s="19" t="s">
        <v>31</v>
      </c>
      <c r="C11" s="11" t="s">
        <v>65</v>
      </c>
      <c r="D11" s="13">
        <f>[7]Main!$D$3</f>
        <v>265.69</v>
      </c>
      <c r="E11" s="14">
        <f>[7]Main!$D$5</f>
        <v>71311.195999999996</v>
      </c>
      <c r="F11" s="14">
        <f>[7]Main!$D$8</f>
        <v>-8367</v>
      </c>
      <c r="G11" s="14">
        <f>[7]Main!$D$9</f>
        <v>79678.195999999996</v>
      </c>
      <c r="H11" s="14">
        <f>[7]Model!W$16</f>
        <v>3484</v>
      </c>
      <c r="I11" s="14">
        <f>[7]Model!X$16</f>
        <v>3167</v>
      </c>
      <c r="J11" s="14">
        <f>[7]Model!Y$16</f>
        <v>3257</v>
      </c>
      <c r="K11" s="14">
        <f>[7]Model!Z$16</f>
        <v>3390</v>
      </c>
      <c r="L11" s="14">
        <f>[7]Model!AA$16</f>
        <v>3315</v>
      </c>
      <c r="M11" s="14">
        <f>[7]Model!AB$16</f>
        <v>3782</v>
      </c>
      <c r="N11" s="14">
        <f>[7]Model!AC$16</f>
        <v>0</v>
      </c>
      <c r="O11" s="14">
        <f>[7]Model!AD$16</f>
        <v>0</v>
      </c>
      <c r="P11" s="14">
        <f>[7]Model!AE$16</f>
        <v>0</v>
      </c>
      <c r="Q11" s="14">
        <f>[7]Model!AF$16</f>
        <v>0</v>
      </c>
      <c r="R11" s="15">
        <f t="shared" ref="R11" si="6">$G11/M11</f>
        <v>21.067740877842411</v>
      </c>
      <c r="X11" s="14">
        <f>[7]Model!$AB$5</f>
        <v>47716</v>
      </c>
      <c r="Y11" s="20">
        <f t="shared" si="5"/>
        <v>1.6698423170425014</v>
      </c>
      <c r="Z11" s="16">
        <f>[7]Model!$AA$22</f>
        <v>7.2702819296064147E-2</v>
      </c>
      <c r="AA11" s="16">
        <f>[7]Model!$AB$22</f>
        <v>0.12878501135503417</v>
      </c>
      <c r="AB11" s="16">
        <f>[7]Model!$AB$25</f>
        <v>0.15432978455863861</v>
      </c>
      <c r="AC11" s="16">
        <f>[7]Model!$AB$27</f>
        <v>0.10051135887333389</v>
      </c>
      <c r="AH11" s="11">
        <v>1952</v>
      </c>
      <c r="AJ11" s="18">
        <f>[7]Main!$E$3</f>
        <v>45771</v>
      </c>
      <c r="AK11" s="18">
        <f>[7]Main!$G$3</f>
        <v>45861</v>
      </c>
    </row>
    <row r="12" spans="2:37" x14ac:dyDescent="0.3">
      <c r="B12" s="5" t="s">
        <v>27</v>
      </c>
      <c r="C12" s="11" t="s">
        <v>59</v>
      </c>
    </row>
    <row r="13" spans="2:37" x14ac:dyDescent="0.3">
      <c r="B13" s="12" t="s">
        <v>29</v>
      </c>
      <c r="C13" s="11" t="s">
        <v>41</v>
      </c>
      <c r="D13" s="17">
        <f>[8]Main!$D$3</f>
        <v>1417</v>
      </c>
      <c r="E13" s="14">
        <f>[8]Main!$D$5</f>
        <v>61540.31</v>
      </c>
      <c r="F13" s="14">
        <f>[8]Main!$D$8</f>
        <v>-893</v>
      </c>
      <c r="G13" s="14">
        <f>[8]Main!$D$9</f>
        <v>62433.31</v>
      </c>
      <c r="H13" s="14"/>
      <c r="I13" s="14">
        <f>[8]Model!Y$37</f>
        <v>0</v>
      </c>
      <c r="J13" s="14">
        <f>[8]Model!Z$37</f>
        <v>-27</v>
      </c>
      <c r="K13" s="14">
        <f>[8]Model!AA$37</f>
        <v>291</v>
      </c>
      <c r="L13" s="14">
        <f>[8]Model!AB$37</f>
        <v>476</v>
      </c>
      <c r="M13" s="14">
        <f>[8]Model!AC$37</f>
        <v>534</v>
      </c>
      <c r="N13" s="14">
        <f>[8]Model!AD$37</f>
        <v>717</v>
      </c>
      <c r="O13" s="14">
        <f>[8]Model!AE$37</f>
        <v>1183.5057150000023</v>
      </c>
      <c r="P13" s="14">
        <f>[8]Model!AF$37</f>
        <v>1446.6646025</v>
      </c>
      <c r="Q13" s="14">
        <f>[8]Model!AG$37</f>
        <v>1594.3621815874999</v>
      </c>
      <c r="R13" s="15">
        <f>$G13/M13</f>
        <v>116.91631086142321</v>
      </c>
      <c r="S13" s="15">
        <f t="shared" ref="S13:V13" si="7">$G13/N13</f>
        <v>87.07574616457461</v>
      </c>
      <c r="T13" s="15">
        <f t="shared" si="7"/>
        <v>52.752858907825278</v>
      </c>
      <c r="U13" s="15">
        <f t="shared" si="7"/>
        <v>43.156727476505736</v>
      </c>
      <c r="V13" s="15">
        <f t="shared" si="7"/>
        <v>39.158800127732214</v>
      </c>
      <c r="W13" s="15">
        <f>G13/[8]Model!$AN$37</f>
        <v>32.332214391558495</v>
      </c>
      <c r="X13" s="14">
        <f>[8]Model!$AC$18</f>
        <v>7175</v>
      </c>
      <c r="Y13" s="20">
        <f t="shared" ref="Y13:Y14" si="8">G13/X13</f>
        <v>8.7015066202090594</v>
      </c>
      <c r="Z13" s="16">
        <f>[8]Model!$AB$49</f>
        <v>0.1327089591800672</v>
      </c>
      <c r="AA13" s="16">
        <f>[8]Model!$AC$49</f>
        <v>0.11934477379095165</v>
      </c>
      <c r="AB13" s="16">
        <f>[8]Model!$AC$51</f>
        <v>0.26327526132404183</v>
      </c>
      <c r="AC13" s="16">
        <f>[8]Model!$AC$56</f>
        <v>0.11777003484320557</v>
      </c>
      <c r="AD13" s="16">
        <f>[8]Model!$AS$46</f>
        <v>7.0000000000000007E-2</v>
      </c>
      <c r="AE13" s="16">
        <f>[8]Model!$AS$52</f>
        <v>-0.62242636061307977</v>
      </c>
      <c r="AF13" s="11" t="str">
        <f>[8]Model!$AS$53</f>
        <v>Heavily overvalued</v>
      </c>
      <c r="AH13" s="11">
        <v>1927</v>
      </c>
      <c r="AJ13" s="18">
        <f>[8]Main!$F$3</f>
        <v>45734</v>
      </c>
      <c r="AK13" s="18">
        <f>[8]Main!$H$3</f>
        <v>45455</v>
      </c>
    </row>
    <row r="14" spans="2:37" x14ac:dyDescent="0.3">
      <c r="B14" s="19" t="s">
        <v>28</v>
      </c>
      <c r="C14" s="11" t="s">
        <v>66</v>
      </c>
      <c r="D14" s="13">
        <f>[9]Main!$D$3</f>
        <v>212.27</v>
      </c>
      <c r="E14" s="14">
        <f>[9]Main!$D$5</f>
        <v>39970.441000000006</v>
      </c>
      <c r="F14" s="14">
        <f>[9]Main!$D$8</f>
        <v>-11621</v>
      </c>
      <c r="G14" s="14">
        <f>[9]Main!$D$9</f>
        <v>51591.441000000006</v>
      </c>
      <c r="I14" s="14">
        <f>[9]Model!T$18</f>
        <v>1119</v>
      </c>
      <c r="J14" s="14">
        <f>[9]Model!U$18</f>
        <v>1846</v>
      </c>
      <c r="K14" s="14">
        <f>[9]Model!V$18</f>
        <v>1062</v>
      </c>
      <c r="L14" s="14">
        <f>[9]Model!W$18</f>
        <v>1227</v>
      </c>
      <c r="M14" s="14">
        <f>[9]Model!X$18</f>
        <v>1502</v>
      </c>
      <c r="N14" s="14">
        <f>[9]Model!Y$18</f>
        <v>0</v>
      </c>
      <c r="O14" s="14">
        <f>[9]Model!Z$18</f>
        <v>0</v>
      </c>
      <c r="P14" s="14">
        <f>[9]Model!AA$18</f>
        <v>0</v>
      </c>
      <c r="Q14" s="14">
        <f>[9]Model!AB$18</f>
        <v>0</v>
      </c>
      <c r="R14" s="15">
        <f>$G14/M14</f>
        <v>34.348496005326233</v>
      </c>
      <c r="X14" s="14">
        <f>[9]Model!$X$5</f>
        <v>21325</v>
      </c>
      <c r="Y14" s="20">
        <f t="shared" si="8"/>
        <v>2.4192938335287226</v>
      </c>
      <c r="Z14" s="16">
        <f>[9]Model!$W$24</f>
        <v>0.13814324229281438</v>
      </c>
      <c r="AA14" s="16">
        <f>[9]Model!$X$24</f>
        <v>9.815129512333276E-2</v>
      </c>
      <c r="AB14" s="16">
        <f>[9]Model!$X$27</f>
        <v>0.25903868698710436</v>
      </c>
      <c r="AC14" s="16">
        <f>[9]Model!$X$29</f>
        <v>8.9941383352872217E-2</v>
      </c>
      <c r="AH14" s="11">
        <v>1890</v>
      </c>
      <c r="AJ14" s="18">
        <f>[9]Main!$E$3</f>
        <v>45771</v>
      </c>
      <c r="AK14" s="18">
        <f>[9]Main!$G$3</f>
        <v>45771</v>
      </c>
    </row>
    <row r="15" spans="2:37" x14ac:dyDescent="0.3">
      <c r="B15" s="5" t="s">
        <v>35</v>
      </c>
      <c r="C15" s="11" t="s">
        <v>67</v>
      </c>
    </row>
    <row r="16" spans="2:37" x14ac:dyDescent="0.3">
      <c r="B16" s="5" t="s">
        <v>36</v>
      </c>
      <c r="C16" s="11" t="s">
        <v>68</v>
      </c>
    </row>
    <row r="17" spans="2:37" x14ac:dyDescent="0.3">
      <c r="B17" s="5" t="s">
        <v>37</v>
      </c>
      <c r="C17" s="11" t="s">
        <v>69</v>
      </c>
    </row>
    <row r="18" spans="2:37" x14ac:dyDescent="0.3">
      <c r="B18" s="12" t="s">
        <v>39</v>
      </c>
      <c r="C18" s="11" t="s">
        <v>58</v>
      </c>
      <c r="D18" s="17">
        <f>[10]Main!$D$3</f>
        <v>46.45</v>
      </c>
      <c r="E18" s="14">
        <f>[10]Main!$D$5</f>
        <v>26736.620000000003</v>
      </c>
      <c r="F18" s="14">
        <f>[10]Main!$D$8</f>
        <v>-267</v>
      </c>
      <c r="G18" s="14">
        <f>[10]Main!$D$9</f>
        <v>27003.620000000003</v>
      </c>
      <c r="H18" s="14">
        <f>[10]Model!T$18</f>
        <v>823</v>
      </c>
      <c r="I18" s="14">
        <f>[10]Model!U$18</f>
        <v>239</v>
      </c>
      <c r="J18" s="14">
        <f>[10]Model!V$18</f>
        <v>586</v>
      </c>
      <c r="K18" s="14">
        <f>[10]Model!W$18</f>
        <v>927</v>
      </c>
      <c r="L18" s="14">
        <f>[10]Model!X$18</f>
        <v>658</v>
      </c>
      <c r="M18" s="14">
        <f>[10]Model!Y$18</f>
        <v>1072</v>
      </c>
      <c r="N18" s="14">
        <f>[10]Model!Z$18</f>
        <v>1019.06265</v>
      </c>
      <c r="O18" s="14">
        <f>[10]Model!AA$18</f>
        <v>1838.0187149999997</v>
      </c>
      <c r="P18" s="14">
        <f>[10]Model!AB$18</f>
        <v>1923.3074602500005</v>
      </c>
      <c r="Q18" s="14">
        <f>[10]Model!AC$18</f>
        <v>2000.3647039200005</v>
      </c>
      <c r="R18" s="15">
        <f t="shared" ref="R18:V18" si="9">$G18/M18</f>
        <v>25.18994402985075</v>
      </c>
      <c r="S18" s="15">
        <f t="shared" si="9"/>
        <v>26.498488586545687</v>
      </c>
      <c r="T18" s="15">
        <f t="shared" si="9"/>
        <v>14.691700242018486</v>
      </c>
      <c r="U18" s="15">
        <f t="shared" si="9"/>
        <v>14.040199270318405</v>
      </c>
      <c r="V18" s="15">
        <f t="shared" si="9"/>
        <v>13.499348367366487</v>
      </c>
      <c r="W18" s="15">
        <f>G18/[10]Model!$AJ$18</f>
        <v>11.637538166893249</v>
      </c>
      <c r="X18" s="14">
        <f>[10]Model!$Y$3</f>
        <v>17763</v>
      </c>
      <c r="Y18" s="20">
        <f>G18/X18</f>
        <v>1.5202173056353094</v>
      </c>
      <c r="Z18" s="16">
        <f>[10]Model!$X$22</f>
        <v>3.9284986066743688E-2</v>
      </c>
      <c r="AA18" s="16">
        <f>[10]Model!$Y$22</f>
        <v>0.1616637237590739</v>
      </c>
      <c r="AB18" s="16">
        <f>[10]Model!$Y$23</f>
        <v>0.11349434217193041</v>
      </c>
      <c r="AC18" s="16">
        <f>[10]Model!$Y$25</f>
        <v>6.6430220120475142E-2</v>
      </c>
      <c r="AD18" s="16">
        <f>[10]Model!$AM$24</f>
        <v>0.08</v>
      </c>
      <c r="AE18" s="16">
        <f>[10]Model!$AM$30</f>
        <v>-8.2951850912037273E-2</v>
      </c>
      <c r="AF18" s="11" t="str">
        <f>[10]Model!$AM$31</f>
        <v>Fairly valued</v>
      </c>
      <c r="AH18" s="11">
        <v>1996</v>
      </c>
      <c r="AJ18" s="18">
        <f>[10]Main!$E$3</f>
        <v>45736</v>
      </c>
      <c r="AK18" s="18">
        <f>[10]Main!$G$3</f>
        <v>45868</v>
      </c>
    </row>
    <row r="19" spans="2:37" x14ac:dyDescent="0.3">
      <c r="B19" s="5" t="s">
        <v>38</v>
      </c>
      <c r="C19" s="11" t="s">
        <v>70</v>
      </c>
    </row>
    <row r="20" spans="2:37" x14ac:dyDescent="0.3">
      <c r="B20" s="5" t="s">
        <v>44</v>
      </c>
      <c r="C20" s="11" t="s">
        <v>71</v>
      </c>
    </row>
    <row r="21" spans="2:37" x14ac:dyDescent="0.3">
      <c r="B21" s="12" t="s">
        <v>55</v>
      </c>
      <c r="C21" s="11" t="s">
        <v>56</v>
      </c>
      <c r="D21" s="13">
        <f>[11]Main!$D$3</f>
        <v>7.21</v>
      </c>
      <c r="E21" s="14">
        <f>[11]Main!$D$5</f>
        <v>59.843000000000004</v>
      </c>
      <c r="F21" s="14">
        <f>[11]Main!$D$8</f>
        <v>-1.3</v>
      </c>
      <c r="G21" s="14">
        <f>[11]Main!$D$9</f>
        <v>61.143000000000001</v>
      </c>
      <c r="L21" s="14">
        <f>[11]Model!$P$20</f>
        <v>-1.4</v>
      </c>
      <c r="M21" s="14">
        <f>[11]Model!Q$20</f>
        <v>-6.3999999999999995</v>
      </c>
      <c r="N21" s="14">
        <f>[11]Model!R$20</f>
        <v>-7.4699999999999989</v>
      </c>
      <c r="O21" s="14">
        <f>[11]Model!S$20</f>
        <v>-9.5558799999999984</v>
      </c>
      <c r="P21" s="14">
        <f>[11]Model!T$20</f>
        <v>-10.959568000000001</v>
      </c>
      <c r="Q21" s="14">
        <f>[11]Model!U$20</f>
        <v>-11.357623199999999</v>
      </c>
      <c r="W21" s="15">
        <f>G21/[11]Model!$AB$20</f>
        <v>1.6899351470068711</v>
      </c>
      <c r="X21" s="14">
        <f>[11]Model!$Q$3</f>
        <v>5.5</v>
      </c>
      <c r="Y21" s="20">
        <f>G21/X21</f>
        <v>11.116909090909092</v>
      </c>
      <c r="AB21" s="16">
        <f>[11]Model!$Q$26</f>
        <v>0.27272727272727271</v>
      </c>
      <c r="AC21" s="16">
        <f>[11]Model!$Q$30</f>
        <v>-1.0363636363636362</v>
      </c>
      <c r="AD21" s="16">
        <f>[11]Model!$AF$27</f>
        <v>0.13</v>
      </c>
      <c r="AE21" s="16">
        <f>[11]Model!$AF$33</f>
        <v>-0.23973616282793675</v>
      </c>
      <c r="AF21" s="11" t="str">
        <f>[11]Model!$AF$34</f>
        <v>Overvalued</v>
      </c>
      <c r="AG21" s="11" t="s">
        <v>57</v>
      </c>
      <c r="AH21" s="11">
        <v>2019</v>
      </c>
      <c r="AJ21" s="18">
        <f>[11]Main!$E$3</f>
        <v>45736</v>
      </c>
      <c r="AK21" s="18">
        <f>[11]Main!$G$3</f>
        <v>45743</v>
      </c>
    </row>
  </sheetData>
  <hyperlinks>
    <hyperlink ref="B4" r:id="rId1" xr:uid="{9EBE5D6A-1C1D-4975-961D-8BDF60D469F0}"/>
    <hyperlink ref="B13" r:id="rId2" xr:uid="{1C2D10B8-C1F0-4011-9894-9CA25208770D}"/>
    <hyperlink ref="B7" r:id="rId3" xr:uid="{959B55A2-9FD4-4C66-8ED7-2CA35BBDDBEB}"/>
    <hyperlink ref="B21" r:id="rId4" xr:uid="{585D8E65-116D-4674-B4B3-00498D6A7848}"/>
    <hyperlink ref="B18" r:id="rId5" xr:uid="{CFD2CC9C-5B8B-4286-BE47-40E920DADED7}"/>
    <hyperlink ref="B5" r:id="rId6" xr:uid="{A17201AA-5063-4DAA-B4C5-DF50CA314C77}"/>
    <hyperlink ref="B6" r:id="rId7" xr:uid="{66D11DBA-CC4F-47C4-B72D-A167C22CF998}"/>
    <hyperlink ref="B11" r:id="rId8" xr:uid="{68839818-3059-4F3D-A939-24E347A3D924}"/>
    <hyperlink ref="B10" r:id="rId9" xr:uid="{2C804FE1-0AB3-4453-B597-E9A1557EBD6D}"/>
    <hyperlink ref="B14" r:id="rId10" xr:uid="{60BDF6DB-8BEB-4FB3-8DBA-58358D39164E}"/>
    <hyperlink ref="B8" r:id="rId11" xr:uid="{2E581798-4486-4631-A533-55B5B7275D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2024-09-29T12:49:46Z</dcterms:created>
  <dcterms:modified xsi:type="dcterms:W3CDTF">2025-05-03T19:19:14Z</dcterms:modified>
</cp:coreProperties>
</file>