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D7E31180-44CD-46D7-A475-076D3915B937}" xr6:coauthVersionLast="47" xr6:coauthVersionMax="47" xr10:uidLastSave="{00000000-0000-0000-0000-000000000000}"/>
  <bookViews>
    <workbookView xWindow="-108" yWindow="-108" windowWidth="23256" windowHeight="12576" xr2:uid="{8DE2C096-8306-4635-BAD7-DE2F1A3674DA}"/>
  </bookViews>
  <sheets>
    <sheet name="Mai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9" i="1" l="1"/>
  <c r="X29" i="1"/>
  <c r="Y4" i="1" l="1"/>
  <c r="X4" i="1"/>
  <c r="Y13" i="1" l="1"/>
  <c r="X13" i="1"/>
  <c r="AG13" i="1"/>
  <c r="AF13" i="1"/>
  <c r="Y3" i="1" l="1"/>
  <c r="X3" i="1"/>
  <c r="Y23" i="1"/>
  <c r="X23" i="1"/>
  <c r="W23" i="1"/>
  <c r="V23" i="1"/>
  <c r="T23" i="1"/>
  <c r="M23" i="1"/>
  <c r="L23" i="1"/>
  <c r="K23" i="1"/>
  <c r="J23" i="1"/>
  <c r="I23" i="1"/>
  <c r="H23" i="1"/>
  <c r="AB23" i="1" l="1"/>
  <c r="AA23" i="1"/>
  <c r="Z23" i="1"/>
  <c r="AG23" i="1"/>
  <c r="AF23" i="1"/>
  <c r="AB13" i="1" l="1"/>
  <c r="AA13" i="1"/>
  <c r="Z13" i="1"/>
  <c r="W7" i="1" l="1"/>
  <c r="V7" i="1"/>
  <c r="W6" i="1" l="1"/>
  <c r="V6" i="1"/>
  <c r="W30" i="1" l="1"/>
  <c r="V30" i="1"/>
  <c r="W31" i="1"/>
  <c r="W29" i="1"/>
  <c r="W20" i="1"/>
  <c r="W21" i="1"/>
  <c r="W22" i="1"/>
  <c r="W15" i="1"/>
  <c r="W13" i="1"/>
  <c r="W10" i="1"/>
  <c r="W11" i="1"/>
  <c r="W5" i="1"/>
  <c r="W4" i="1"/>
  <c r="V31" i="1"/>
  <c r="V29" i="1"/>
  <c r="V22" i="1"/>
  <c r="V21" i="1"/>
  <c r="V20" i="1"/>
  <c r="V15" i="1"/>
  <c r="V13" i="1"/>
  <c r="V11" i="1"/>
  <c r="V10" i="1"/>
  <c r="V5" i="1"/>
  <c r="V4" i="1"/>
  <c r="V3" i="1" s="1"/>
  <c r="T31" i="1"/>
  <c r="T30" i="1"/>
  <c r="T29" i="1"/>
  <c r="T22" i="1"/>
  <c r="T21" i="1"/>
  <c r="T20" i="1"/>
  <c r="T15" i="1"/>
  <c r="T13" i="1"/>
  <c r="T11" i="1"/>
  <c r="T10" i="1"/>
  <c r="T7" i="1"/>
  <c r="T6" i="1"/>
  <c r="T5" i="1"/>
  <c r="T4" i="1"/>
  <c r="W3" i="1" l="1"/>
  <c r="M30" i="1"/>
  <c r="L30" i="1"/>
  <c r="K30" i="1"/>
  <c r="J30" i="1"/>
  <c r="I30" i="1"/>
  <c r="H30" i="1"/>
  <c r="AB30" i="1"/>
  <c r="AA30" i="1"/>
  <c r="Z30" i="1"/>
  <c r="M20" i="1" l="1"/>
  <c r="L20" i="1"/>
  <c r="K20" i="1"/>
  <c r="J20" i="1"/>
  <c r="I20" i="1"/>
  <c r="H20" i="1"/>
  <c r="I6" i="1" l="1"/>
  <c r="H6" i="1"/>
  <c r="J6" i="1" l="1"/>
  <c r="K6" i="1" l="1"/>
  <c r="L6" i="1" l="1"/>
  <c r="M6" i="1" l="1"/>
  <c r="M10" i="1" l="1"/>
  <c r="L10" i="1"/>
  <c r="K10" i="1"/>
  <c r="J10" i="1"/>
  <c r="I10" i="1"/>
  <c r="H10" i="1"/>
  <c r="D23" i="1" l="1"/>
  <c r="E23" i="1"/>
  <c r="F23" i="1"/>
  <c r="G23" i="1"/>
  <c r="U23" i="1" s="1"/>
  <c r="N23" i="1"/>
  <c r="O23" i="1"/>
  <c r="M13" i="1"/>
  <c r="L13" i="1"/>
  <c r="K13" i="1"/>
  <c r="J13" i="1"/>
  <c r="I13" i="1"/>
  <c r="H13" i="1"/>
  <c r="G13" i="1"/>
  <c r="U13" i="1" s="1"/>
  <c r="F13" i="1"/>
  <c r="E13" i="1"/>
  <c r="D13" i="1"/>
  <c r="P23" i="1" l="1"/>
  <c r="S23" i="1"/>
  <c r="R23" i="1"/>
  <c r="Q23" i="1"/>
  <c r="P13" i="1"/>
  <c r="O13" i="1"/>
  <c r="Q13" i="1"/>
  <c r="R13" i="1"/>
  <c r="S13" i="1"/>
  <c r="N13" i="1"/>
  <c r="AG29" i="1" l="1"/>
  <c r="AF29" i="1"/>
  <c r="AB29" i="1"/>
  <c r="Z29" i="1"/>
  <c r="I29" i="1"/>
  <c r="H29" i="1"/>
  <c r="G29" i="1"/>
  <c r="U29" i="1" s="1"/>
  <c r="F29" i="1"/>
  <c r="E29" i="1"/>
  <c r="D29" i="1"/>
  <c r="M15" i="1"/>
  <c r="L15" i="1"/>
  <c r="K15" i="1"/>
  <c r="J15" i="1"/>
  <c r="I15" i="1"/>
  <c r="H15" i="1"/>
  <c r="N29" i="1" l="1"/>
  <c r="O29" i="1"/>
  <c r="AB31" i="1"/>
  <c r="AA31" i="1"/>
  <c r="Z31" i="1"/>
  <c r="M31" i="1"/>
  <c r="L31" i="1"/>
  <c r="K31" i="1"/>
  <c r="J31" i="1"/>
  <c r="I31" i="1"/>
  <c r="H31" i="1"/>
  <c r="M22" i="1" l="1"/>
  <c r="L22" i="1"/>
  <c r="K22" i="1"/>
  <c r="J22" i="1"/>
  <c r="I22" i="1"/>
  <c r="H22" i="1"/>
  <c r="M11" i="1" l="1"/>
  <c r="L11" i="1"/>
  <c r="K11" i="1"/>
  <c r="J11" i="1"/>
  <c r="I11" i="1"/>
  <c r="H11" i="1"/>
  <c r="AB21" i="1" l="1"/>
  <c r="AA21" i="1"/>
  <c r="Z21" i="1"/>
  <c r="M21" i="1"/>
  <c r="L21" i="1"/>
  <c r="K21" i="1"/>
  <c r="J21" i="1"/>
  <c r="I21" i="1"/>
  <c r="H21" i="1"/>
  <c r="I5" i="1"/>
  <c r="H5" i="1"/>
  <c r="M7" i="1"/>
  <c r="L7" i="1"/>
  <c r="K7" i="1"/>
  <c r="J7" i="1"/>
  <c r="I7" i="1"/>
  <c r="H7" i="1"/>
  <c r="K5" i="1" l="1"/>
  <c r="L5" i="1" l="1"/>
  <c r="M5" i="1"/>
  <c r="AG4" i="1" l="1"/>
  <c r="AF4" i="1"/>
  <c r="AB4" i="1"/>
  <c r="AA4" i="1"/>
  <c r="Z4" i="1"/>
  <c r="M4" i="1"/>
  <c r="L4" i="1"/>
  <c r="K4" i="1"/>
  <c r="J4" i="1"/>
  <c r="I4" i="1"/>
  <c r="H4" i="1"/>
  <c r="G4" i="1"/>
  <c r="U4" i="1" s="1"/>
  <c r="F4" i="1"/>
  <c r="E4" i="1"/>
  <c r="D4" i="1"/>
  <c r="AG24" i="1"/>
  <c r="S4" i="1" l="1"/>
  <c r="R4" i="1"/>
  <c r="N4" i="1"/>
  <c r="O4" i="1"/>
  <c r="P4" i="1"/>
  <c r="Q4" i="1"/>
  <c r="AB32" i="1"/>
  <c r="Z32" i="1"/>
  <c r="AA32" i="1" l="1"/>
  <c r="AG31" i="1" l="1"/>
  <c r="AF31" i="1"/>
  <c r="AG34" i="1" l="1"/>
  <c r="AF34" i="1"/>
  <c r="AB34" i="1"/>
  <c r="AA34" i="1"/>
  <c r="Z34" i="1"/>
  <c r="G34" i="1"/>
  <c r="F34" i="1"/>
  <c r="E34" i="1"/>
  <c r="D34" i="1"/>
  <c r="AG7" i="1" l="1"/>
  <c r="AF7" i="1"/>
  <c r="AB7" i="1"/>
  <c r="Z7" i="1"/>
  <c r="G7" i="1"/>
  <c r="U7" i="1" s="1"/>
  <c r="F7" i="1"/>
  <c r="E7" i="1"/>
  <c r="D7" i="1"/>
  <c r="S7" i="1" l="1"/>
  <c r="N7" i="1"/>
  <c r="O7" i="1"/>
  <c r="Q7" i="1"/>
  <c r="P7" i="1"/>
  <c r="AG11" i="1"/>
  <c r="AF11" i="1"/>
  <c r="AB11" i="1"/>
  <c r="Z11" i="1"/>
  <c r="G11" i="1"/>
  <c r="U11" i="1" s="1"/>
  <c r="F11" i="1"/>
  <c r="E11" i="1"/>
  <c r="D11" i="1"/>
  <c r="R11" i="1" l="1"/>
  <c r="S11" i="1"/>
  <c r="Q11" i="1"/>
  <c r="P11" i="1"/>
  <c r="O11" i="1"/>
  <c r="AF24" i="1"/>
  <c r="AB24" i="1"/>
  <c r="Z24" i="1"/>
  <c r="E24" i="1"/>
  <c r="D24" i="1"/>
  <c r="AG16" i="1"/>
  <c r="AF16" i="1"/>
  <c r="AB16" i="1"/>
  <c r="AA16" i="1"/>
  <c r="Z16" i="1"/>
  <c r="G16" i="1"/>
  <c r="F16" i="1"/>
  <c r="E16" i="1"/>
  <c r="D16" i="1"/>
  <c r="AG25" i="1" l="1"/>
  <c r="AF25" i="1"/>
  <c r="AB25" i="1"/>
  <c r="Z25" i="1"/>
  <c r="G25" i="1"/>
  <c r="F25" i="1"/>
  <c r="E25" i="1"/>
  <c r="D25" i="1"/>
  <c r="AG33" i="1"/>
  <c r="AF33" i="1"/>
  <c r="AB33" i="1"/>
  <c r="Z33" i="1"/>
  <c r="G33" i="1"/>
  <c r="F33" i="1"/>
  <c r="E33" i="1"/>
  <c r="D33" i="1"/>
  <c r="AG20" i="1" l="1"/>
  <c r="AF20" i="1"/>
  <c r="AB20" i="1"/>
  <c r="Z20" i="1"/>
  <c r="AA20" i="1" l="1"/>
  <c r="G20" i="1"/>
  <c r="U20" i="1" s="1"/>
  <c r="F20" i="1"/>
  <c r="E20" i="1"/>
  <c r="D20" i="1"/>
  <c r="D15" i="1"/>
  <c r="E15" i="1"/>
  <c r="F15" i="1"/>
  <c r="G15" i="1"/>
  <c r="U15" i="1" s="1"/>
  <c r="Z15" i="1"/>
  <c r="AB15" i="1"/>
  <c r="AF15" i="1"/>
  <c r="AG15" i="1"/>
  <c r="AG14" i="1"/>
  <c r="AF14" i="1"/>
  <c r="AB14" i="1"/>
  <c r="AA14" i="1"/>
  <c r="Z14" i="1"/>
  <c r="G14" i="1"/>
  <c r="F14" i="1"/>
  <c r="E14" i="1"/>
  <c r="D14" i="1"/>
  <c r="P20" i="1" l="1"/>
  <c r="O20" i="1"/>
  <c r="S20" i="1"/>
  <c r="Q20" i="1"/>
  <c r="R20" i="1"/>
  <c r="O15" i="1"/>
  <c r="N15" i="1"/>
  <c r="S15" i="1"/>
  <c r="R15" i="1"/>
  <c r="Q15" i="1"/>
  <c r="P15" i="1"/>
  <c r="AB6" i="1" l="1"/>
  <c r="AA6" i="1"/>
  <c r="Z6" i="1"/>
  <c r="AG32" i="1" l="1"/>
  <c r="AF32" i="1"/>
  <c r="G32" i="1" l="1"/>
  <c r="F32" i="1"/>
  <c r="E32" i="1"/>
  <c r="D32" i="1"/>
  <c r="AG21" i="1" l="1"/>
  <c r="AF21" i="1"/>
  <c r="G21" i="1"/>
  <c r="U21" i="1" s="1"/>
  <c r="F21" i="1"/>
  <c r="E21" i="1"/>
  <c r="D21" i="1"/>
  <c r="S21" i="1" l="1"/>
  <c r="O21" i="1"/>
  <c r="Q21" i="1"/>
  <c r="N21" i="1"/>
  <c r="R21" i="1"/>
  <c r="P21" i="1"/>
  <c r="AG18" i="1"/>
  <c r="AG8" i="1" l="1"/>
  <c r="AF8" i="1"/>
  <c r="AB8" i="1"/>
  <c r="AA8" i="1"/>
  <c r="Z8" i="1"/>
  <c r="G8" i="1"/>
  <c r="F8" i="1"/>
  <c r="E8" i="1"/>
  <c r="D8" i="1"/>
  <c r="AG10" i="1" l="1"/>
  <c r="AF10" i="1"/>
  <c r="AB10" i="1"/>
  <c r="AA10" i="1"/>
  <c r="Z10" i="1"/>
  <c r="G10" i="1"/>
  <c r="U10" i="1" s="1"/>
  <c r="F10" i="1"/>
  <c r="E10" i="1"/>
  <c r="D10" i="1"/>
  <c r="P10" i="1" l="1"/>
  <c r="O10" i="1"/>
  <c r="N10" i="1"/>
  <c r="R10" i="1"/>
  <c r="S10" i="1"/>
  <c r="Q10" i="1"/>
  <c r="AG5" i="1"/>
  <c r="AF5" i="1"/>
  <c r="AB5" i="1"/>
  <c r="Z5" i="1"/>
  <c r="G5" i="1"/>
  <c r="U5" i="1" s="1"/>
  <c r="F5" i="1"/>
  <c r="E5" i="1"/>
  <c r="D5" i="1"/>
  <c r="Z19" i="1"/>
  <c r="AB19" i="1"/>
  <c r="N5" i="1" l="1"/>
  <c r="Q5" i="1"/>
  <c r="O5" i="1"/>
  <c r="S5" i="1"/>
  <c r="AG28" i="1"/>
  <c r="AF28" i="1"/>
  <c r="AB28" i="1"/>
  <c r="AA28" i="1"/>
  <c r="Z28" i="1"/>
  <c r="G28" i="1"/>
  <c r="F28" i="1"/>
  <c r="E28" i="1"/>
  <c r="D28" i="1"/>
  <c r="AG26" i="1" l="1"/>
  <c r="AF26" i="1"/>
  <c r="AB26" i="1"/>
  <c r="Z26" i="1"/>
  <c r="G26" i="1"/>
  <c r="F26" i="1"/>
  <c r="E26" i="1"/>
  <c r="D26" i="1"/>
  <c r="AG27" i="1"/>
  <c r="AF27" i="1"/>
  <c r="AB27" i="1"/>
  <c r="AA27" i="1"/>
  <c r="Z27" i="1"/>
  <c r="G27" i="1"/>
  <c r="F27" i="1"/>
  <c r="E27" i="1"/>
  <c r="D27" i="1"/>
  <c r="AG30" i="1" l="1"/>
  <c r="AG22" i="1"/>
  <c r="AF22" i="1"/>
  <c r="AB22" i="1"/>
  <c r="Z22" i="1"/>
  <c r="G22" i="1"/>
  <c r="U22" i="1" s="1"/>
  <c r="F22" i="1"/>
  <c r="E22" i="1"/>
  <c r="D22" i="1"/>
  <c r="P22" i="1" l="1"/>
  <c r="O22" i="1"/>
  <c r="R22" i="1"/>
  <c r="Q22" i="1"/>
  <c r="S22" i="1"/>
  <c r="AG17" i="1"/>
  <c r="AF17" i="1"/>
  <c r="AB17" i="1"/>
  <c r="Z17" i="1"/>
  <c r="G17" i="1" l="1"/>
  <c r="F17" i="1"/>
  <c r="E17" i="1"/>
  <c r="D17" i="1"/>
  <c r="AA17" i="1" l="1"/>
  <c r="AG9" i="1"/>
  <c r="AF9" i="1"/>
  <c r="AB9" i="1"/>
  <c r="Z9" i="1"/>
  <c r="G9" i="1"/>
  <c r="F9" i="1"/>
  <c r="E9" i="1"/>
  <c r="D9" i="1"/>
  <c r="AG6" i="1" l="1"/>
  <c r="AF6" i="1"/>
  <c r="G6" i="1" l="1"/>
  <c r="U6" i="1" s="1"/>
  <c r="F6" i="1"/>
  <c r="E6" i="1"/>
  <c r="D6" i="1"/>
  <c r="O6" i="1" l="1"/>
  <c r="P6" i="1"/>
  <c r="N6" i="1"/>
  <c r="S6" i="1"/>
  <c r="R6" i="1"/>
  <c r="Q6" i="1"/>
  <c r="AG19" i="1"/>
  <c r="AF19" i="1"/>
  <c r="G19" i="1"/>
  <c r="F19" i="1"/>
  <c r="E19" i="1"/>
  <c r="D19" i="1"/>
  <c r="AG12" i="1" l="1"/>
  <c r="AF12" i="1"/>
  <c r="AB12" i="1"/>
  <c r="Z12" i="1"/>
  <c r="G12" i="1"/>
  <c r="F12" i="1"/>
  <c r="E12" i="1"/>
  <c r="D12" i="1"/>
  <c r="AA12" i="1" l="1"/>
  <c r="G31" i="1" l="1"/>
  <c r="U31" i="1" s="1"/>
  <c r="F31" i="1"/>
  <c r="E31" i="1"/>
  <c r="D31" i="1"/>
  <c r="AF30" i="1"/>
  <c r="G30" i="1"/>
  <c r="F30" i="1"/>
  <c r="E30" i="1"/>
  <c r="D30" i="1"/>
  <c r="S30" i="1" l="1"/>
  <c r="U30" i="1"/>
  <c r="U3" i="1" s="1"/>
  <c r="Q31" i="1"/>
  <c r="R31" i="1"/>
  <c r="P31" i="1"/>
  <c r="S31" i="1"/>
  <c r="O31" i="1"/>
  <c r="O3" i="1" s="1"/>
  <c r="N30" i="1"/>
  <c r="N3" i="1" s="1"/>
  <c r="AF18" i="1"/>
  <c r="AB18" i="1"/>
  <c r="AB3" i="1" s="1"/>
  <c r="Z18" i="1"/>
  <c r="Z3" i="1" s="1"/>
  <c r="G18" i="1"/>
  <c r="F18" i="1"/>
  <c r="E18" i="1"/>
  <c r="D18" i="1"/>
  <c r="AA26" i="1" l="1"/>
  <c r="AA33" i="1" l="1"/>
  <c r="AA9" i="1" l="1"/>
  <c r="G24" i="1" l="1"/>
  <c r="F24" i="1"/>
  <c r="AA24" i="1" l="1"/>
  <c r="AA19" i="1" l="1"/>
  <c r="AA18" i="1" l="1"/>
  <c r="AA25" i="1" l="1"/>
  <c r="R7" i="1" l="1"/>
  <c r="AA7" i="1" l="1"/>
  <c r="R5" i="1" l="1"/>
  <c r="AA5" i="1" l="1"/>
  <c r="J5" i="1"/>
  <c r="P5" i="1" s="1"/>
  <c r="AA11" i="1" l="1"/>
  <c r="AA22" i="1" l="1"/>
  <c r="AA15" i="1" l="1"/>
  <c r="K29" i="1" l="1"/>
  <c r="Q29" i="1" s="1"/>
  <c r="Q3" i="1" s="1"/>
  <c r="J29" i="1" l="1"/>
  <c r="P29" i="1" s="1"/>
  <c r="P3" i="1" s="1"/>
  <c r="L29" i="1" l="1"/>
  <c r="R29" i="1" s="1"/>
  <c r="R3" i="1" s="1"/>
  <c r="M29" i="1" l="1"/>
  <c r="S29" i="1" s="1"/>
  <c r="S3" i="1" s="1"/>
  <c r="AA29" i="1" l="1"/>
  <c r="AA3" i="1" s="1"/>
</calcChain>
</file>

<file path=xl/sharedStrings.xml><?xml version="1.0" encoding="utf-8"?>
<sst xmlns="http://schemas.openxmlformats.org/spreadsheetml/2006/main" count="130" uniqueCount="108">
  <si>
    <t>Company</t>
  </si>
  <si>
    <t>Ticker</t>
  </si>
  <si>
    <t>Price</t>
  </si>
  <si>
    <t>MC</t>
  </si>
  <si>
    <t>Net Cash</t>
  </si>
  <si>
    <t>EV</t>
  </si>
  <si>
    <t>2023 E</t>
  </si>
  <si>
    <t>2024 E</t>
  </si>
  <si>
    <t>2025 E</t>
  </si>
  <si>
    <t>2023 EV/E</t>
  </si>
  <si>
    <t>2024 EV/E</t>
  </si>
  <si>
    <t>2025 EV/E</t>
  </si>
  <si>
    <t>Discount</t>
  </si>
  <si>
    <t>Variance</t>
  </si>
  <si>
    <t>Consensus</t>
  </si>
  <si>
    <t>Segment</t>
  </si>
  <si>
    <t>Founded</t>
  </si>
  <si>
    <t>Industry Average</t>
  </si>
  <si>
    <t>Ralph Lauren</t>
  </si>
  <si>
    <t>RL US</t>
  </si>
  <si>
    <t>Updated</t>
  </si>
  <si>
    <t>Earnings Call</t>
  </si>
  <si>
    <t>Asos</t>
  </si>
  <si>
    <t>Boohoo</t>
  </si>
  <si>
    <t>BOO UK</t>
  </si>
  <si>
    <t>H&amp;M</t>
  </si>
  <si>
    <t>HNNMY US</t>
  </si>
  <si>
    <t>E-commerce</t>
  </si>
  <si>
    <t>Fast fashion</t>
  </si>
  <si>
    <t>Luxury</t>
  </si>
  <si>
    <t>Burberry</t>
  </si>
  <si>
    <t>BRBY UK</t>
  </si>
  <si>
    <t>TKMaxx</t>
  </si>
  <si>
    <t>TJX US</t>
  </si>
  <si>
    <t>Inditex</t>
  </si>
  <si>
    <t>ITX ES</t>
  </si>
  <si>
    <t>Fast fashion/Luxury</t>
  </si>
  <si>
    <t>Next</t>
  </si>
  <si>
    <t>NXT UK</t>
  </si>
  <si>
    <t>Fashion</t>
  </si>
  <si>
    <t>Phillips-Van Heusen</t>
  </si>
  <si>
    <t>PVH US</t>
  </si>
  <si>
    <t>Capri</t>
  </si>
  <si>
    <t>CPRI US</t>
  </si>
  <si>
    <t>Vanity Fair</t>
  </si>
  <si>
    <t>Hugo Boss</t>
  </si>
  <si>
    <t>Guess</t>
  </si>
  <si>
    <t>Levi's</t>
  </si>
  <si>
    <t>LVMH</t>
  </si>
  <si>
    <t>Gap</t>
  </si>
  <si>
    <t>BOSS DE</t>
  </si>
  <si>
    <t>Frasers</t>
  </si>
  <si>
    <t>FRAS UK</t>
  </si>
  <si>
    <t>GES US</t>
  </si>
  <si>
    <t>Kering</t>
  </si>
  <si>
    <t>MC FR</t>
  </si>
  <si>
    <t>Hermès</t>
  </si>
  <si>
    <t>Conglomerate</t>
  </si>
  <si>
    <t>KER FR</t>
  </si>
  <si>
    <t>HRMS FR</t>
  </si>
  <si>
    <t>Superdry</t>
  </si>
  <si>
    <t>Marks &amp; Spencer</t>
  </si>
  <si>
    <t>MKS UK</t>
  </si>
  <si>
    <t>Multi-segment</t>
  </si>
  <si>
    <t>Farfetch</t>
  </si>
  <si>
    <t>FTCH US</t>
  </si>
  <si>
    <t>SDRY UK</t>
  </si>
  <si>
    <t>Foot Locker</t>
  </si>
  <si>
    <t>VFC US</t>
  </si>
  <si>
    <t>Joules</t>
  </si>
  <si>
    <t>JOUL UK</t>
  </si>
  <si>
    <t>FL US</t>
  </si>
  <si>
    <t>LEVI US</t>
  </si>
  <si>
    <t>Outlet</t>
  </si>
  <si>
    <t>Deliveroo</t>
  </si>
  <si>
    <t>ROO UK</t>
  </si>
  <si>
    <t>Adidas</t>
  </si>
  <si>
    <t>ADS DE</t>
  </si>
  <si>
    <t>Sportswear</t>
  </si>
  <si>
    <t>Nike</t>
  </si>
  <si>
    <t>NKE US</t>
  </si>
  <si>
    <t>Mulberry</t>
  </si>
  <si>
    <t>MUL UK</t>
  </si>
  <si>
    <t>Walmart</t>
  </si>
  <si>
    <t>WMT US</t>
  </si>
  <si>
    <t>GPS US</t>
  </si>
  <si>
    <t>2026 E</t>
  </si>
  <si>
    <t>2027 E</t>
  </si>
  <si>
    <t>2028 E</t>
  </si>
  <si>
    <t>2026 EV/E</t>
  </si>
  <si>
    <t>2027 EV/E</t>
  </si>
  <si>
    <t>2028 EV/E</t>
  </si>
  <si>
    <t>2023 RevG</t>
  </si>
  <si>
    <t>Puma</t>
  </si>
  <si>
    <t>ASC UK</t>
  </si>
  <si>
    <t>HelloFresh</t>
  </si>
  <si>
    <t>HFG DE</t>
  </si>
  <si>
    <t>Tesco</t>
  </si>
  <si>
    <t>Sainsbury's</t>
  </si>
  <si>
    <t>TSCO UK</t>
  </si>
  <si>
    <t>SBRY UK</t>
  </si>
  <si>
    <t>CostCo</t>
  </si>
  <si>
    <t>A&amp;F</t>
  </si>
  <si>
    <t>2024 Rev</t>
  </si>
  <si>
    <t>2024 RevG</t>
  </si>
  <si>
    <t>2024 GM%</t>
  </si>
  <si>
    <t>2024 OM%</t>
  </si>
  <si>
    <t>2024 EV/R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</si>
</sst>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$-409]#,##0"/>
    <numFmt numFmtId="165" formatCode="0\x"/>
    <numFmt numFmtId="166" formatCode="[$$-409]#,##0.00"/>
    <numFmt numFmtId="167" formatCode="&quot;£&quot;#,##0.00"/>
    <numFmt numFmtId="168" formatCode="[$SEK]\ #,##0.00"/>
    <numFmt numFmtId="169" formatCode="#,##0.00\ [$€-1]"/>
    <numFmt numFmtId="170" formatCode="0.0\x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/>
    <xf numFmtId="165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1"/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0" fontId="4" fillId="0" borderId="0" xfId="1" applyFill="1"/>
    <xf numFmtId="170" fontId="0" fillId="0" borderId="0" xfId="0" applyNumberFormat="1" applyAlignment="1">
      <alignment horizontal="center"/>
    </xf>
    <xf numFmtId="170" fontId="1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WMT.xlsx" TargetMode="External"/><Relationship Id="rId1" Type="http://schemas.openxmlformats.org/officeDocument/2006/relationships/externalLinkPath" Target="WMT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TSCO.xlsx" TargetMode="External"/><Relationship Id="rId1" Type="http://schemas.openxmlformats.org/officeDocument/2006/relationships/externalLinkPath" Target="TSCO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TCH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NXT.xlsx" TargetMode="External"/><Relationship Id="rId1" Type="http://schemas.openxmlformats.org/officeDocument/2006/relationships/externalLinkPath" Target="NXT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LEVI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PVH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RL.xlsx" TargetMode="External"/><Relationship Id="rId1" Type="http://schemas.openxmlformats.org/officeDocument/2006/relationships/externalLinkPath" Target="RL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BRBY.xlsx" TargetMode="External"/><Relationship Id="rId1" Type="http://schemas.openxmlformats.org/officeDocument/2006/relationships/externalLinkPath" Target="BRBY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VFC.xlsx" TargetMode="External"/><Relationship Id="rId1" Type="http://schemas.openxmlformats.org/officeDocument/2006/relationships/externalLinkPath" Target="VFC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MKS.xlsx" TargetMode="External"/><Relationship Id="rId1" Type="http://schemas.openxmlformats.org/officeDocument/2006/relationships/externalLinkPath" Target="MKS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CPRI.xlsx" TargetMode="External"/><Relationship Id="rId1" Type="http://schemas.openxmlformats.org/officeDocument/2006/relationships/externalLinkPath" Target="CPRI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LVMH.xlsx" TargetMode="External"/><Relationship Id="rId1" Type="http://schemas.openxmlformats.org/officeDocument/2006/relationships/externalLinkPath" Target="LVMH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SBRY.xlsx" TargetMode="External"/><Relationship Id="rId1" Type="http://schemas.openxmlformats.org/officeDocument/2006/relationships/externalLinkPath" Target="SBRY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ROO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FL.xlsx" TargetMode="External"/><Relationship Id="rId1" Type="http://schemas.openxmlformats.org/officeDocument/2006/relationships/externalLinkPath" Target="FL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RAS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BOSS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GES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HFG.xlsx" TargetMode="External"/><Relationship Id="rId1" Type="http://schemas.openxmlformats.org/officeDocument/2006/relationships/externalLinkPath" Target="HFG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ASOS.xlsx" TargetMode="External"/><Relationship Id="rId1" Type="http://schemas.openxmlformats.org/officeDocument/2006/relationships/externalLinkPath" Target="ASOS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BOO.xlsx" TargetMode="External"/><Relationship Id="rId1" Type="http://schemas.openxmlformats.org/officeDocument/2006/relationships/externalLinkPath" Target="BOO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SDRY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TJX.xlsx" TargetMode="External"/><Relationship Id="rId1" Type="http://schemas.openxmlformats.org/officeDocument/2006/relationships/externalLinkPath" Target="TJX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JOU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MUL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NKE.xlsx" TargetMode="External"/><Relationship Id="rId1" Type="http://schemas.openxmlformats.org/officeDocument/2006/relationships/externalLinkPath" Target="NK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RM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ITX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KER.xlsx" TargetMode="External"/><Relationship Id="rId1" Type="http://schemas.openxmlformats.org/officeDocument/2006/relationships/externalLinkPath" Target="KER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ADS.xlsx" TargetMode="External"/><Relationship Id="rId1" Type="http://schemas.openxmlformats.org/officeDocument/2006/relationships/externalLinkPath" Target="ADS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HNNMY.xlsx" TargetMode="External"/><Relationship Id="rId1" Type="http://schemas.openxmlformats.org/officeDocument/2006/relationships/externalLinkPath" Target="HNNM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95.91</v>
          </cell>
          <cell r="E3">
            <v>45772</v>
          </cell>
          <cell r="G3">
            <v>45792</v>
          </cell>
        </row>
        <row r="5">
          <cell r="D5">
            <v>768891.28799999994</v>
          </cell>
        </row>
        <row r="8">
          <cell r="D8">
            <v>-30030</v>
          </cell>
        </row>
        <row r="9">
          <cell r="D9">
            <v>798921.28799999994</v>
          </cell>
        </row>
      </sheetData>
      <sheetData sheetId="1">
        <row r="3">
          <cell r="Y3">
            <v>680985</v>
          </cell>
        </row>
        <row r="13">
          <cell r="X13">
            <v>15511</v>
          </cell>
          <cell r="Y13">
            <v>19436</v>
          </cell>
          <cell r="Z13">
            <v>23548.148100000006</v>
          </cell>
          <cell r="AA13">
            <v>29771.666883000013</v>
          </cell>
          <cell r="AB13">
            <v>30390.350849909999</v>
          </cell>
          <cell r="AC13">
            <v>31021.641002450713</v>
          </cell>
        </row>
        <row r="17">
          <cell r="X17">
            <v>6.02595499019285E-2</v>
          </cell>
          <cell r="Y17">
            <v>5.0700096432015451E-2</v>
          </cell>
        </row>
        <row r="18">
          <cell r="Y18">
            <v>0.24851061330278934</v>
          </cell>
        </row>
        <row r="19">
          <cell r="AM19">
            <v>0.05</v>
          </cell>
        </row>
        <row r="20">
          <cell r="Y20">
            <v>4.3096397130626962E-2</v>
          </cell>
        </row>
        <row r="25">
          <cell r="AM25">
            <v>-0.29027089149658136</v>
          </cell>
        </row>
        <row r="26">
          <cell r="AM26" t="str">
            <v>Slightly overvalued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3.452</v>
          </cell>
          <cell r="E3">
            <v>45605</v>
          </cell>
          <cell r="G3">
            <v>45757</v>
          </cell>
        </row>
        <row r="5">
          <cell r="D5">
            <v>24498.844000000001</v>
          </cell>
        </row>
        <row r="8">
          <cell r="D8">
            <v>-2649</v>
          </cell>
        </row>
        <row r="9">
          <cell r="D9">
            <v>27147.844000000001</v>
          </cell>
        </row>
      </sheetData>
      <sheetData sheetId="1">
        <row r="3">
          <cell r="M3">
            <v>67673</v>
          </cell>
        </row>
        <row r="19">
          <cell r="L19">
            <v>659</v>
          </cell>
          <cell r="M19">
            <v>1760</v>
          </cell>
          <cell r="N19">
            <v>1551.4449750000003</v>
          </cell>
          <cell r="O19">
            <v>1576.8530364374908</v>
          </cell>
          <cell r="P19">
            <v>1586.6243405648449</v>
          </cell>
          <cell r="Q19">
            <v>1596.011417230156</v>
          </cell>
        </row>
        <row r="23">
          <cell r="L23">
            <v>5.7381324986958804E-2</v>
          </cell>
          <cell r="M23">
            <v>4.3305994079920973E-2</v>
          </cell>
        </row>
        <row r="25">
          <cell r="M25">
            <v>7.1653392047049777E-2</v>
          </cell>
          <cell r="AB25">
            <v>7.0000000000000007E-2</v>
          </cell>
        </row>
        <row r="27">
          <cell r="M27">
            <v>4.1685753550160333E-2</v>
          </cell>
        </row>
        <row r="31">
          <cell r="AB31">
            <v>-0.21807546494852925</v>
          </cell>
        </row>
        <row r="32">
          <cell r="AB32" t="str">
            <v>Slightly overvalued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D3">
            <v>37.11</v>
          </cell>
          <cell r="E3">
            <v>44330</v>
          </cell>
          <cell r="G3" t="str">
            <v>August?</v>
          </cell>
        </row>
        <row r="5">
          <cell r="D5">
            <v>13177.761</v>
          </cell>
        </row>
        <row r="8">
          <cell r="D8">
            <v>-2054.2000000000007</v>
          </cell>
        </row>
        <row r="9">
          <cell r="D9">
            <v>15231.961000000001</v>
          </cell>
        </row>
      </sheetData>
      <sheetData sheetId="1">
        <row r="23">
          <cell r="AO23">
            <v>7.0000000000000007E-2</v>
          </cell>
        </row>
        <row r="29">
          <cell r="AO29">
            <v>-0.17579359601320499</v>
          </cell>
        </row>
        <row r="30">
          <cell r="AO30" t="str">
            <v>Slightly overvalued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98.62</v>
          </cell>
          <cell r="E3">
            <v>45605</v>
          </cell>
          <cell r="G3">
            <v>45664</v>
          </cell>
        </row>
        <row r="5">
          <cell r="D5">
            <v>12505.016</v>
          </cell>
        </row>
        <row r="8">
          <cell r="D8">
            <v>-668.9</v>
          </cell>
        </row>
        <row r="9">
          <cell r="D9">
            <v>13173.915999999999</v>
          </cell>
        </row>
      </sheetData>
      <sheetData sheetId="1">
        <row r="3">
          <cell r="AD3">
            <v>5983.1200000000008</v>
          </cell>
        </row>
        <row r="15">
          <cell r="AC15">
            <v>802.30000000000018</v>
          </cell>
          <cell r="AD15">
            <v>676.84562400000016</v>
          </cell>
          <cell r="AE15">
            <v>815.73031800000001</v>
          </cell>
          <cell r="AF15">
            <v>837.98311428000011</v>
          </cell>
          <cell r="AG15">
            <v>851.56556701320005</v>
          </cell>
          <cell r="AH15">
            <v>856.03179311909958</v>
          </cell>
        </row>
        <row r="19">
          <cell r="AC19">
            <v>9.0782677791021005E-2</v>
          </cell>
          <cell r="AD19">
            <v>8.9623019486432476E-2</v>
          </cell>
        </row>
        <row r="22">
          <cell r="AR22">
            <v>0.08</v>
          </cell>
        </row>
        <row r="28">
          <cell r="AR28">
            <v>-0.24354692695337765</v>
          </cell>
        </row>
        <row r="29">
          <cell r="AR29" t="str">
            <v>Slightly overvalued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D3">
            <v>23.91</v>
          </cell>
          <cell r="E3">
            <v>44282</v>
          </cell>
          <cell r="G3">
            <v>44390</v>
          </cell>
        </row>
        <row r="5">
          <cell r="D5">
            <v>9525.7439999999988</v>
          </cell>
        </row>
        <row r="8">
          <cell r="D8">
            <v>29.400000000000091</v>
          </cell>
        </row>
        <row r="9">
          <cell r="D9">
            <v>9496.3439999999991</v>
          </cell>
        </row>
      </sheetData>
      <sheetData sheetId="1">
        <row r="21">
          <cell r="AP21">
            <v>7.0000000000000007E-2</v>
          </cell>
        </row>
        <row r="27">
          <cell r="AP27">
            <v>-0.19115467120529295</v>
          </cell>
        </row>
        <row r="28">
          <cell r="AP28" t="str">
            <v>Slightly overvalued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D3">
            <v>100.98</v>
          </cell>
          <cell r="E3">
            <v>44289</v>
          </cell>
          <cell r="G3">
            <v>44342</v>
          </cell>
        </row>
        <row r="5">
          <cell r="D5">
            <v>7189.7760000000007</v>
          </cell>
        </row>
        <row r="8">
          <cell r="D8">
            <v>-1903.3999999999996</v>
          </cell>
        </row>
        <row r="9">
          <cell r="D9">
            <v>9093.1759999999995</v>
          </cell>
        </row>
      </sheetData>
      <sheetData sheetId="1">
        <row r="21">
          <cell r="AI21">
            <v>7.0000000000000007E-2</v>
          </cell>
        </row>
        <row r="27">
          <cell r="AI27">
            <v>-0.43205430167391579</v>
          </cell>
        </row>
        <row r="28">
          <cell r="AI28" t="str">
            <v>Overvalued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122.5</v>
          </cell>
          <cell r="E3">
            <v>44336</v>
          </cell>
          <cell r="G3" t="str">
            <v>August?</v>
          </cell>
        </row>
        <row r="5">
          <cell r="D5">
            <v>8966.9999999999982</v>
          </cell>
        </row>
        <row r="8">
          <cell r="D8">
            <v>1143.5999999999999</v>
          </cell>
        </row>
        <row r="9">
          <cell r="D9">
            <v>7823.3999999999978</v>
          </cell>
        </row>
      </sheetData>
      <sheetData sheetId="1">
        <row r="23">
          <cell r="AP23">
            <v>7.0000000000000007E-2</v>
          </cell>
        </row>
        <row r="29">
          <cell r="AP29">
            <v>-0.12941289817966728</v>
          </cell>
        </row>
        <row r="30">
          <cell r="AP30" t="str">
            <v>Slightly overvalued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20.190000000000001</v>
          </cell>
          <cell r="E3">
            <v>44329</v>
          </cell>
          <cell r="G3" t="str">
            <v>August?</v>
          </cell>
        </row>
        <row r="5">
          <cell r="D5">
            <v>8178.969000000001</v>
          </cell>
        </row>
        <row r="8">
          <cell r="D8">
            <v>918.8</v>
          </cell>
        </row>
        <row r="9">
          <cell r="D9">
            <v>7260.1690000000008</v>
          </cell>
        </row>
      </sheetData>
      <sheetData sheetId="1">
        <row r="21">
          <cell r="AL21">
            <v>0.09</v>
          </cell>
        </row>
        <row r="27">
          <cell r="AL27">
            <v>-0.18858668493468422</v>
          </cell>
        </row>
        <row r="28">
          <cell r="AL28" t="str">
            <v>Fairly valued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11.54</v>
          </cell>
          <cell r="E3">
            <v>45772</v>
          </cell>
          <cell r="G3">
            <v>45798</v>
          </cell>
        </row>
        <row r="5">
          <cell r="D5">
            <v>4472.9039999999995</v>
          </cell>
        </row>
        <row r="8">
          <cell r="D8">
            <v>-3278.4999999999995</v>
          </cell>
        </row>
        <row r="9">
          <cell r="D9">
            <v>7751.4039999999986</v>
          </cell>
        </row>
      </sheetData>
      <sheetData sheetId="1">
        <row r="3">
          <cell r="AI3">
            <v>10247.243000000002</v>
          </cell>
        </row>
        <row r="15">
          <cell r="AH15">
            <v>-968.79999999999882</v>
          </cell>
          <cell r="AI15">
            <v>160.69069000000093</v>
          </cell>
          <cell r="AJ15">
            <v>225.49504237500187</v>
          </cell>
          <cell r="AK15">
            <v>265.70294237827682</v>
          </cell>
          <cell r="AL15">
            <v>343.79544664348964</v>
          </cell>
          <cell r="AM15">
            <v>419.80418408678042</v>
          </cell>
        </row>
        <row r="19">
          <cell r="AH19">
            <v>-9.9702906350914944E-2</v>
          </cell>
          <cell r="AI19">
            <v>-1.9843419705969367E-2</v>
          </cell>
        </row>
        <row r="22">
          <cell r="AW22">
            <v>0.08</v>
          </cell>
        </row>
        <row r="28">
          <cell r="AW28">
            <v>-0.6013239207469645</v>
          </cell>
        </row>
        <row r="29">
          <cell r="AW29" t="str">
            <v>Heavily overvalued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3.1880000000000002</v>
          </cell>
          <cell r="E3">
            <v>45515</v>
          </cell>
          <cell r="G3">
            <v>45571</v>
          </cell>
        </row>
        <row r="5">
          <cell r="D5">
            <v>6290.5616000000009</v>
          </cell>
        </row>
        <row r="8">
          <cell r="D8">
            <v>-1426.6000000000004</v>
          </cell>
        </row>
        <row r="9">
          <cell r="D9">
            <v>7717.1616000000013</v>
          </cell>
        </row>
      </sheetData>
      <sheetData sheetId="1">
        <row r="6">
          <cell r="Y6">
            <v>13825.668000000001</v>
          </cell>
        </row>
        <row r="18">
          <cell r="X18">
            <v>431.19999999999783</v>
          </cell>
          <cell r="Y18">
            <v>516.59015999999951</v>
          </cell>
          <cell r="Z18">
            <v>569.06173231999992</v>
          </cell>
          <cell r="AA18">
            <v>599.1788431942399</v>
          </cell>
          <cell r="AB18">
            <v>597.16944045331923</v>
          </cell>
          <cell r="AC18">
            <v>595.00950077352388</v>
          </cell>
        </row>
        <row r="25">
          <cell r="X25">
            <v>9.2932035905559207E-2</v>
          </cell>
          <cell r="Y25">
            <v>6.0242482803046116E-2</v>
          </cell>
        </row>
        <row r="28">
          <cell r="AL28">
            <v>7.0000000000000007E-2</v>
          </cell>
        </row>
        <row r="34">
          <cell r="AL34">
            <v>0.20243799453487643</v>
          </cell>
        </row>
        <row r="35">
          <cell r="AL35" t="str">
            <v>Slightly undervalued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30.54</v>
          </cell>
          <cell r="E3">
            <v>45515</v>
          </cell>
          <cell r="G3">
            <v>45602</v>
          </cell>
        </row>
        <row r="5">
          <cell r="D5">
            <v>3597.6119999999996</v>
          </cell>
        </row>
        <row r="8">
          <cell r="D8">
            <v>-1500</v>
          </cell>
        </row>
        <row r="9">
          <cell r="D9">
            <v>5097.6119999999992</v>
          </cell>
        </row>
      </sheetData>
      <sheetData sheetId="1">
        <row r="3">
          <cell r="AL3">
            <v>4958.3999999999996</v>
          </cell>
        </row>
        <row r="18">
          <cell r="AK18">
            <v>-229</v>
          </cell>
          <cell r="AL18">
            <v>209.68728000000007</v>
          </cell>
          <cell r="AM18">
            <v>203.17963776000002</v>
          </cell>
          <cell r="AN18">
            <v>240.16662641791987</v>
          </cell>
          <cell r="AO18">
            <v>250.95131874385646</v>
          </cell>
          <cell r="AP18">
            <v>261.72781394280128</v>
          </cell>
        </row>
        <row r="22">
          <cell r="AK22">
            <v>-7.9907456842854607E-2</v>
          </cell>
          <cell r="AL22">
            <v>-4.0928433268858866E-2</v>
          </cell>
        </row>
        <row r="25">
          <cell r="AZ25">
            <v>0.08</v>
          </cell>
        </row>
        <row r="31">
          <cell r="AZ31">
            <v>-0.46354459659633762</v>
          </cell>
        </row>
        <row r="32">
          <cell r="AZ32" t="str">
            <v>Overvalued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630.4</v>
          </cell>
          <cell r="E3">
            <v>45633</v>
          </cell>
          <cell r="G3">
            <v>45680</v>
          </cell>
        </row>
        <row r="5">
          <cell r="D5">
            <v>315263.03999999998</v>
          </cell>
        </row>
        <row r="8">
          <cell r="D8">
            <v>-13621</v>
          </cell>
        </row>
        <row r="9">
          <cell r="D9">
            <v>328884.03999999998</v>
          </cell>
        </row>
      </sheetData>
      <sheetData sheetId="1">
        <row r="3">
          <cell r="AA3">
            <v>85370.434999999998</v>
          </cell>
        </row>
        <row r="16">
          <cell r="Z16">
            <v>15174</v>
          </cell>
          <cell r="AA16">
            <v>14781.352341499993</v>
          </cell>
          <cell r="AB16">
            <v>15309.741958159999</v>
          </cell>
          <cell r="AC16">
            <v>15771.019859244794</v>
          </cell>
          <cell r="AD16">
            <v>16083.641932311391</v>
          </cell>
          <cell r="AE16">
            <v>16403.087535732939</v>
          </cell>
        </row>
        <row r="20">
          <cell r="Z20">
            <v>8.8010204081632626E-2</v>
          </cell>
          <cell r="AA20">
            <v>-9.0834329622880849E-3</v>
          </cell>
        </row>
        <row r="23">
          <cell r="AO23">
            <v>0.05</v>
          </cell>
        </row>
        <row r="29">
          <cell r="AO29">
            <v>-5.705492944318058E-2</v>
          </cell>
        </row>
        <row r="30">
          <cell r="AO30" t="str">
            <v>Fairly valued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2.492</v>
          </cell>
          <cell r="E3">
            <v>45606</v>
          </cell>
          <cell r="G3">
            <v>45764</v>
          </cell>
        </row>
        <row r="5">
          <cell r="D5">
            <v>5818.3216000000002</v>
          </cell>
        </row>
        <row r="8">
          <cell r="D8">
            <v>792</v>
          </cell>
        </row>
        <row r="9">
          <cell r="D9">
            <v>5026.3216000000002</v>
          </cell>
        </row>
      </sheetData>
      <sheetData sheetId="1">
        <row r="3">
          <cell r="R3">
            <v>33407.74</v>
          </cell>
        </row>
        <row r="14">
          <cell r="P14">
            <v>207</v>
          </cell>
          <cell r="Q14">
            <v>137</v>
          </cell>
          <cell r="R14">
            <v>29.962259999999787</v>
          </cell>
          <cell r="S14">
            <v>276.50670880000001</v>
          </cell>
          <cell r="T14">
            <v>278.23983588800036</v>
          </cell>
          <cell r="U14">
            <v>279.98047044688002</v>
          </cell>
        </row>
        <row r="18">
          <cell r="Q18">
            <v>3.8391921501381265E-2</v>
          </cell>
          <cell r="R18">
            <v>2.164342507645256E-2</v>
          </cell>
        </row>
        <row r="19">
          <cell r="R19">
            <v>6.9993714031538798E-2</v>
          </cell>
        </row>
        <row r="20">
          <cell r="AE20">
            <v>0.08</v>
          </cell>
        </row>
        <row r="21">
          <cell r="R21">
            <v>9.7950894014381049E-3</v>
          </cell>
        </row>
        <row r="26">
          <cell r="AE26">
            <v>-0.31952500833907249</v>
          </cell>
        </row>
        <row r="27">
          <cell r="AE27" t="str">
            <v>Overvalued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D3">
            <v>3.6</v>
          </cell>
          <cell r="E3">
            <v>44420</v>
          </cell>
          <cell r="G3" t="str">
            <v>?</v>
          </cell>
        </row>
        <row r="5">
          <cell r="D5">
            <v>5496.48</v>
          </cell>
        </row>
        <row r="8">
          <cell r="D8">
            <v>1626.7</v>
          </cell>
        </row>
        <row r="9">
          <cell r="D9">
            <v>3869.7799999999997</v>
          </cell>
        </row>
      </sheetData>
      <sheetData sheetId="1">
        <row r="21">
          <cell r="X21">
            <v>7.0000000000000007E-2</v>
          </cell>
        </row>
        <row r="27">
          <cell r="X27">
            <v>8.4177669736136052E-2</v>
          </cell>
        </row>
        <row r="28">
          <cell r="X28" t="str">
            <v>Fairly valued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54.44</v>
          </cell>
          <cell r="E3">
            <v>44414</v>
          </cell>
          <cell r="G3">
            <v>44428</v>
          </cell>
        </row>
        <row r="5">
          <cell r="D5">
            <v>5634.54</v>
          </cell>
        </row>
        <row r="8">
          <cell r="D8">
            <v>2196</v>
          </cell>
        </row>
        <row r="9">
          <cell r="D9">
            <v>3438.54</v>
          </cell>
        </row>
      </sheetData>
      <sheetData sheetId="1">
        <row r="21">
          <cell r="AO21">
            <v>7.0000000000000007E-2</v>
          </cell>
        </row>
        <row r="27">
          <cell r="AO27">
            <v>0.69257009121192681</v>
          </cell>
        </row>
        <row r="28">
          <cell r="AO28" t="str">
            <v>Heavily undervalued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D3">
            <v>5.1260000000000003</v>
          </cell>
          <cell r="E3">
            <v>44314</v>
          </cell>
          <cell r="G3">
            <v>44426</v>
          </cell>
        </row>
        <row r="5">
          <cell r="D5">
            <v>2572.9956999999999</v>
          </cell>
        </row>
        <row r="8">
          <cell r="D8">
            <v>-273.59999999999991</v>
          </cell>
        </row>
        <row r="9">
          <cell r="D9">
            <v>2846.5956999999999</v>
          </cell>
        </row>
      </sheetData>
      <sheetData sheetId="1">
        <row r="26">
          <cell r="Y26">
            <v>7.0000000000000007E-2</v>
          </cell>
        </row>
        <row r="32">
          <cell r="Y32">
            <v>0.28587799282885329</v>
          </cell>
        </row>
        <row r="33">
          <cell r="Y33" t="str">
            <v>Slightly undervalued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D3">
            <v>52.12</v>
          </cell>
          <cell r="E3">
            <v>44420</v>
          </cell>
          <cell r="G3">
            <v>44504</v>
          </cell>
        </row>
        <row r="5">
          <cell r="D5">
            <v>3669.248</v>
          </cell>
        </row>
        <row r="8">
          <cell r="D8">
            <v>-151</v>
          </cell>
        </row>
        <row r="9">
          <cell r="D9">
            <v>3820.248</v>
          </cell>
        </row>
      </sheetData>
      <sheetData sheetId="1">
        <row r="19">
          <cell r="AN19">
            <v>7.0000000000000007E-2</v>
          </cell>
        </row>
        <row r="25">
          <cell r="AN25">
            <v>0.15709054200584593</v>
          </cell>
        </row>
        <row r="26">
          <cell r="AN26" t="str">
            <v>Slightly undervalued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D3">
            <v>23.12</v>
          </cell>
          <cell r="E3">
            <v>44420</v>
          </cell>
          <cell r="G3">
            <v>44440</v>
          </cell>
        </row>
        <row r="5">
          <cell r="D5">
            <v>1500.4880000000003</v>
          </cell>
        </row>
        <row r="8">
          <cell r="D8">
            <v>28.900000000000034</v>
          </cell>
        </row>
        <row r="9">
          <cell r="D9">
            <v>1471.5880000000002</v>
          </cell>
        </row>
      </sheetData>
      <sheetData sheetId="1">
        <row r="23">
          <cell r="AJ23">
            <v>0.08</v>
          </cell>
        </row>
        <row r="29">
          <cell r="AJ29">
            <v>0.34018971080534643</v>
          </cell>
        </row>
        <row r="30">
          <cell r="AJ30" t="str">
            <v>Undervalued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7.34</v>
          </cell>
          <cell r="F3">
            <v>45521</v>
          </cell>
          <cell r="H3">
            <v>45594</v>
          </cell>
        </row>
        <row r="5">
          <cell r="D5">
            <v>1234.588</v>
          </cell>
        </row>
        <row r="8">
          <cell r="D8">
            <v>232.99999999999997</v>
          </cell>
        </row>
        <row r="9">
          <cell r="D9">
            <v>1001.588</v>
          </cell>
        </row>
      </sheetData>
      <sheetData sheetId="1">
        <row r="3">
          <cell r="X3">
            <v>7760.56</v>
          </cell>
        </row>
        <row r="20">
          <cell r="W20">
            <v>19.400000000001146</v>
          </cell>
          <cell r="X20">
            <v>-74.523820000000285</v>
          </cell>
          <cell r="Y20">
            <v>33.416588799999971</v>
          </cell>
          <cell r="Z20">
            <v>88.594974944000256</v>
          </cell>
          <cell r="AA20">
            <v>144.03526852512073</v>
          </cell>
          <cell r="AB20">
            <v>146.15809187197132</v>
          </cell>
        </row>
        <row r="24">
          <cell r="W24">
            <v>-1.3934167630664795E-3</v>
          </cell>
          <cell r="X24">
            <v>2.1583339915225208E-2</v>
          </cell>
        </row>
        <row r="26">
          <cell r="AM26">
            <v>0.08</v>
          </cell>
        </row>
        <row r="27">
          <cell r="X27">
            <v>0.24860664694300408</v>
          </cell>
        </row>
        <row r="30">
          <cell r="X30">
            <v>-9.2084334120218509E-3</v>
          </cell>
        </row>
        <row r="32">
          <cell r="AM32">
            <v>0.39196885995009012</v>
          </cell>
        </row>
        <row r="33">
          <cell r="AM33" t="str">
            <v>Undervalued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2.9350000000000001</v>
          </cell>
          <cell r="E3">
            <v>45773</v>
          </cell>
          <cell r="G3">
            <v>45945</v>
          </cell>
        </row>
        <row r="5">
          <cell r="D5">
            <v>349.85200000000003</v>
          </cell>
        </row>
        <row r="8">
          <cell r="D8">
            <v>-229.5</v>
          </cell>
        </row>
        <row r="9">
          <cell r="D9">
            <v>579.35200000000009</v>
          </cell>
        </row>
      </sheetData>
      <sheetData sheetId="1">
        <row r="3">
          <cell r="Y3">
            <v>3936.5</v>
          </cell>
        </row>
        <row r="13">
          <cell r="Z13">
            <v>-223.1</v>
          </cell>
          <cell r="AA13">
            <v>-338.6999999999997</v>
          </cell>
          <cell r="AB13">
            <v>-208.74839999999938</v>
          </cell>
          <cell r="AC13">
            <v>-90.524559999999681</v>
          </cell>
          <cell r="AD13">
            <v>-6.9364455999997521</v>
          </cell>
          <cell r="AE13">
            <v>64.161946744000218</v>
          </cell>
        </row>
        <row r="17">
          <cell r="Z17">
            <v>-9.8310682077988099E-2</v>
          </cell>
          <cell r="AA17">
            <v>-0.18134948584307642</v>
          </cell>
        </row>
        <row r="20">
          <cell r="AO20">
            <v>0.1</v>
          </cell>
        </row>
        <row r="26">
          <cell r="AO26">
            <v>-0.56040633715919363</v>
          </cell>
        </row>
        <row r="27">
          <cell r="AO27" t="str">
            <v>Heavily overvalued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0.2828</v>
          </cell>
          <cell r="E3">
            <v>45518</v>
          </cell>
          <cell r="G3">
            <v>45560</v>
          </cell>
        </row>
        <row r="5">
          <cell r="D5">
            <v>339.21859999999998</v>
          </cell>
        </row>
        <row r="8">
          <cell r="D8">
            <v>-65.399999999999977</v>
          </cell>
        </row>
        <row r="9">
          <cell r="D9">
            <v>404.61859999999996</v>
          </cell>
        </row>
      </sheetData>
      <sheetData sheetId="1">
        <row r="3">
          <cell r="AB3">
            <v>1490.22</v>
          </cell>
        </row>
        <row r="15">
          <cell r="AA15">
            <v>-137.79999999999998</v>
          </cell>
          <cell r="AB15">
            <v>8.2771600000000376</v>
          </cell>
          <cell r="AC15">
            <v>26.462785039999989</v>
          </cell>
          <cell r="AD15">
            <v>36.473370337599967</v>
          </cell>
          <cell r="AE15">
            <v>38.209353040976055</v>
          </cell>
          <cell r="AF15">
            <v>39.825570671385748</v>
          </cell>
        </row>
        <row r="19">
          <cell r="AA19">
            <v>-0.1739695821790016</v>
          </cell>
          <cell r="AB19">
            <v>2.0000000000000018E-2</v>
          </cell>
        </row>
        <row r="22">
          <cell r="AO22">
            <v>0.08</v>
          </cell>
        </row>
        <row r="28">
          <cell r="AO28">
            <v>-0.59718302360272257</v>
          </cell>
        </row>
        <row r="29">
          <cell r="AO29" t="str">
            <v>Heavily overvalued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D3">
            <v>3.8</v>
          </cell>
          <cell r="E3">
            <v>44420</v>
          </cell>
          <cell r="G3">
            <v>44468</v>
          </cell>
        </row>
        <row r="5">
          <cell r="D5">
            <v>311.97999999999996</v>
          </cell>
        </row>
        <row r="8">
          <cell r="D8">
            <v>27.000000000000004</v>
          </cell>
        </row>
        <row r="9">
          <cell r="D9">
            <v>284.97999999999996</v>
          </cell>
        </row>
      </sheetData>
      <sheetData sheetId="1">
        <row r="20">
          <cell r="AD20">
            <v>0.09</v>
          </cell>
        </row>
        <row r="26">
          <cell r="AD26">
            <v>-0.41684611553599948</v>
          </cell>
        </row>
        <row r="27">
          <cell r="AD27" t="str">
            <v>Heavily overvalued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126.5</v>
          </cell>
          <cell r="E3">
            <v>45772</v>
          </cell>
          <cell r="G3">
            <v>45798</v>
          </cell>
        </row>
        <row r="5">
          <cell r="D5">
            <v>141313.15</v>
          </cell>
        </row>
        <row r="8">
          <cell r="D8">
            <v>2469</v>
          </cell>
        </row>
        <row r="9">
          <cell r="D9">
            <v>138844.15</v>
          </cell>
        </row>
      </sheetData>
      <sheetData sheetId="1">
        <row r="3">
          <cell r="AV3">
            <v>56360</v>
          </cell>
        </row>
        <row r="11">
          <cell r="AU11">
            <v>4474</v>
          </cell>
          <cell r="AV11">
            <v>4864</v>
          </cell>
          <cell r="AW11">
            <v>5404.1280000000015</v>
          </cell>
          <cell r="AX11">
            <v>5319.3811200000018</v>
          </cell>
          <cell r="AY11">
            <v>5424.3225216000028</v>
          </cell>
          <cell r="AZ11">
            <v>5532.7981253760017</v>
          </cell>
        </row>
        <row r="15">
          <cell r="AU15">
            <v>8.5729734059596385E-2</v>
          </cell>
          <cell r="AV15">
            <v>3.9526347824483166E-2</v>
          </cell>
        </row>
        <row r="18">
          <cell r="BJ18">
            <v>7.0000000000000007E-2</v>
          </cell>
        </row>
        <row r="24">
          <cell r="BJ24">
            <v>-0.46135684426871026</v>
          </cell>
        </row>
        <row r="25">
          <cell r="BJ25" t="str">
            <v>Overvalued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D3">
            <v>2.65</v>
          </cell>
          <cell r="E3">
            <v>44420</v>
          </cell>
          <cell r="G3" t="str">
            <v>January?</v>
          </cell>
        </row>
        <row r="5">
          <cell r="D5">
            <v>294.68</v>
          </cell>
        </row>
        <row r="8">
          <cell r="D8">
            <v>4.0999999999999996</v>
          </cell>
        </row>
        <row r="9">
          <cell r="D9">
            <v>290.58</v>
          </cell>
        </row>
      </sheetData>
      <sheetData sheetId="1">
        <row r="18">
          <cell r="AF18">
            <v>0.1</v>
          </cell>
        </row>
        <row r="24">
          <cell r="AF24">
            <v>-0.38082184550693621</v>
          </cell>
        </row>
        <row r="25">
          <cell r="AF25" t="str">
            <v>Overvalued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D3">
            <v>3.23</v>
          </cell>
          <cell r="E3">
            <v>44420</v>
          </cell>
          <cell r="G3" t="str">
            <v>November?</v>
          </cell>
        </row>
        <row r="5">
          <cell r="D5">
            <v>192.185</v>
          </cell>
        </row>
        <row r="8">
          <cell r="D8">
            <v>7.2</v>
          </cell>
        </row>
        <row r="9">
          <cell r="D9">
            <v>184.98500000000001</v>
          </cell>
        </row>
      </sheetData>
      <sheetData sheetId="1">
        <row r="23">
          <cell r="AJ23">
            <v>0.1</v>
          </cell>
        </row>
        <row r="29">
          <cell r="AJ29">
            <v>-0.33191218096567465</v>
          </cell>
        </row>
        <row r="30">
          <cell r="AJ30" t="str">
            <v>Overvalued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58.29</v>
          </cell>
          <cell r="E3">
            <v>45772</v>
          </cell>
          <cell r="G3">
            <v>45834</v>
          </cell>
        </row>
        <row r="5">
          <cell r="D5">
            <v>86036.04</v>
          </cell>
        </row>
        <row r="8">
          <cell r="D8">
            <v>1433</v>
          </cell>
        </row>
        <row r="9">
          <cell r="D9">
            <v>84603.04</v>
          </cell>
        </row>
      </sheetData>
      <sheetData sheetId="1">
        <row r="3">
          <cell r="AR3">
            <v>46935.58</v>
          </cell>
        </row>
        <row r="13">
          <cell r="AQ13">
            <v>5700</v>
          </cell>
          <cell r="AR13">
            <v>4158.7407180000018</v>
          </cell>
          <cell r="AS13">
            <v>5447.0607473599994</v>
          </cell>
          <cell r="AT13">
            <v>5501.5313548336017</v>
          </cell>
          <cell r="AU13">
            <v>5556.5466683819395</v>
          </cell>
          <cell r="AV13">
            <v>5612.1121350657577</v>
          </cell>
        </row>
        <row r="17">
          <cell r="AP17">
            <v>9.6488974523656568E-2</v>
          </cell>
          <cell r="AQ17">
            <v>2.8310912392370824E-3</v>
          </cell>
        </row>
        <row r="20">
          <cell r="BE20">
            <v>7.0000000000000007E-2</v>
          </cell>
        </row>
        <row r="26">
          <cell r="BE26">
            <v>-0.11787291905287733</v>
          </cell>
        </row>
        <row r="27">
          <cell r="BE27" t="str">
            <v>Slightly overvalued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D3">
            <v>1049.08</v>
          </cell>
          <cell r="E3">
            <v>44312</v>
          </cell>
          <cell r="G3">
            <v>44407</v>
          </cell>
        </row>
        <row r="5">
          <cell r="D5">
            <v>110750.32651999999</v>
          </cell>
        </row>
        <row r="8">
          <cell r="D8">
            <v>4738.6000000000004</v>
          </cell>
        </row>
        <row r="9">
          <cell r="D9">
            <v>106011.72651999998</v>
          </cell>
        </row>
      </sheetData>
      <sheetData sheetId="1">
        <row r="20">
          <cell r="AA20">
            <v>0.06</v>
          </cell>
        </row>
        <row r="26">
          <cell r="AA26">
            <v>-0.468088241988178</v>
          </cell>
        </row>
        <row r="27">
          <cell r="AA27" t="str">
            <v>Overvalued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D3">
            <v>31.81</v>
          </cell>
          <cell r="E3">
            <v>44336</v>
          </cell>
          <cell r="G3">
            <v>44356</v>
          </cell>
        </row>
        <row r="5">
          <cell r="D5">
            <v>99084.968999999997</v>
          </cell>
        </row>
        <row r="8">
          <cell r="D8">
            <v>7821</v>
          </cell>
        </row>
        <row r="9">
          <cell r="D9">
            <v>91263.968999999997</v>
          </cell>
        </row>
      </sheetData>
      <sheetData sheetId="1">
        <row r="20">
          <cell r="AS20">
            <v>0.06</v>
          </cell>
        </row>
        <row r="26">
          <cell r="AS26">
            <v>-0.15213785269085034</v>
          </cell>
        </row>
        <row r="27">
          <cell r="AS27" t="str">
            <v>Slightly overvalued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238.2</v>
          </cell>
          <cell r="E3">
            <v>45633</v>
          </cell>
          <cell r="G3">
            <v>45699</v>
          </cell>
        </row>
        <row r="5">
          <cell r="D5">
            <v>29203.319999999996</v>
          </cell>
        </row>
        <row r="8">
          <cell r="D8">
            <v>-8147</v>
          </cell>
        </row>
        <row r="9">
          <cell r="D9">
            <v>37350.319999999992</v>
          </cell>
        </row>
      </sheetData>
      <sheetData sheetId="1">
        <row r="3">
          <cell r="X3">
            <v>17222.97</v>
          </cell>
        </row>
        <row r="13">
          <cell r="W13">
            <v>3074</v>
          </cell>
          <cell r="X13">
            <v>1249.219313000001</v>
          </cell>
          <cell r="Y13">
            <v>1564.8251266000002</v>
          </cell>
          <cell r="Z13">
            <v>1798.630368944001</v>
          </cell>
          <cell r="AA13">
            <v>1942.0887432851223</v>
          </cell>
          <cell r="AB13">
            <v>1985.4714667782239</v>
          </cell>
        </row>
        <row r="17">
          <cell r="W17">
            <v>-3.8573043093705461E-2</v>
          </cell>
          <cell r="X17">
            <v>-0.11975007666360005</v>
          </cell>
        </row>
        <row r="20">
          <cell r="AL20">
            <v>0.08</v>
          </cell>
        </row>
        <row r="26">
          <cell r="AL26">
            <v>-0.36221624095538285</v>
          </cell>
        </row>
        <row r="27">
          <cell r="AL27" t="str">
            <v>Overvalued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214.6</v>
          </cell>
          <cell r="E3">
            <v>45515</v>
          </cell>
          <cell r="G3">
            <v>45594</v>
          </cell>
        </row>
        <row r="5">
          <cell r="D5">
            <v>38306.1</v>
          </cell>
        </row>
        <row r="8">
          <cell r="D8">
            <v>-1377</v>
          </cell>
        </row>
        <row r="9">
          <cell r="D9">
            <v>39683.1</v>
          </cell>
        </row>
      </sheetData>
      <sheetData sheetId="1">
        <row r="3">
          <cell r="AI3">
            <v>22752.170000000002</v>
          </cell>
        </row>
        <row r="15">
          <cell r="AH15">
            <v>-72</v>
          </cell>
          <cell r="AI15">
            <v>494.34177999999952</v>
          </cell>
          <cell r="AJ15">
            <v>900.33596912000257</v>
          </cell>
          <cell r="AK15">
            <v>1027.3668310135997</v>
          </cell>
          <cell r="AL15">
            <v>1082.7495337938735</v>
          </cell>
          <cell r="AM15">
            <v>1132.1146366113492</v>
          </cell>
        </row>
        <row r="19">
          <cell r="AH19">
            <v>-4.8109812980320688E-2</v>
          </cell>
          <cell r="AI19">
            <v>6.179624789994409E-2</v>
          </cell>
        </row>
        <row r="21">
          <cell r="AW21">
            <v>0.06</v>
          </cell>
        </row>
        <row r="27">
          <cell r="AW27">
            <v>-0.55458425453295668</v>
          </cell>
        </row>
        <row r="28">
          <cell r="AW28" t="str">
            <v>Heavily overvalued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Currency"/>
    </sheetNames>
    <sheetDataSet>
      <sheetData sheetId="0">
        <row r="3">
          <cell r="D3">
            <v>195.4</v>
          </cell>
          <cell r="E3">
            <v>44289</v>
          </cell>
          <cell r="G3">
            <v>44362</v>
          </cell>
        </row>
        <row r="9">
          <cell r="D9">
            <v>38422.119755830201</v>
          </cell>
        </row>
        <row r="12">
          <cell r="D12">
            <v>-7030.131531760293</v>
          </cell>
        </row>
        <row r="13">
          <cell r="D13">
            <v>45452.251287590494</v>
          </cell>
        </row>
      </sheetData>
      <sheetData sheetId="1">
        <row r="19">
          <cell r="AN19">
            <v>0.06</v>
          </cell>
        </row>
        <row r="25">
          <cell r="AN25">
            <v>-0.27849092267171005</v>
          </cell>
        </row>
        <row r="26">
          <cell r="AN26" t="str">
            <v>Slightly overvalued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PVH.xlsx" TargetMode="External"/><Relationship Id="rId13" Type="http://schemas.openxmlformats.org/officeDocument/2006/relationships/hyperlink" Target="LVMH.xlsx" TargetMode="External"/><Relationship Id="rId18" Type="http://schemas.openxmlformats.org/officeDocument/2006/relationships/hyperlink" Target="NXT.xlsx" TargetMode="External"/><Relationship Id="rId26" Type="http://schemas.openxmlformats.org/officeDocument/2006/relationships/hyperlink" Target="NKE.xlsx" TargetMode="External"/><Relationship Id="rId3" Type="http://schemas.openxmlformats.org/officeDocument/2006/relationships/hyperlink" Target="BOO.xlsx" TargetMode="External"/><Relationship Id="rId21" Type="http://schemas.openxmlformats.org/officeDocument/2006/relationships/hyperlink" Target="JOUL.xlsx" TargetMode="External"/><Relationship Id="rId7" Type="http://schemas.openxmlformats.org/officeDocument/2006/relationships/hyperlink" Target="ITX.xlsx" TargetMode="External"/><Relationship Id="rId12" Type="http://schemas.openxmlformats.org/officeDocument/2006/relationships/hyperlink" Target="GES.xlsx" TargetMode="External"/><Relationship Id="rId17" Type="http://schemas.openxmlformats.org/officeDocument/2006/relationships/hyperlink" Target="SDRY.xlsx" TargetMode="External"/><Relationship Id="rId25" Type="http://schemas.openxmlformats.org/officeDocument/2006/relationships/hyperlink" Target="ADS.xlsx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ASOS.xlsx" TargetMode="External"/><Relationship Id="rId16" Type="http://schemas.openxmlformats.org/officeDocument/2006/relationships/hyperlink" Target="MKS.xlsx" TargetMode="External"/><Relationship Id="rId20" Type="http://schemas.openxmlformats.org/officeDocument/2006/relationships/hyperlink" Target="VFC.xlsx" TargetMode="External"/><Relationship Id="rId29" Type="http://schemas.openxmlformats.org/officeDocument/2006/relationships/hyperlink" Target="HFG.xlsx" TargetMode="External"/><Relationship Id="rId1" Type="http://schemas.openxmlformats.org/officeDocument/2006/relationships/hyperlink" Target="RL.xlsx" TargetMode="External"/><Relationship Id="rId6" Type="http://schemas.openxmlformats.org/officeDocument/2006/relationships/hyperlink" Target="TJX.xlsx" TargetMode="External"/><Relationship Id="rId11" Type="http://schemas.openxmlformats.org/officeDocument/2006/relationships/hyperlink" Target="FRAS.xlsx" TargetMode="External"/><Relationship Id="rId24" Type="http://schemas.openxmlformats.org/officeDocument/2006/relationships/hyperlink" Target="ROO.xlsx" TargetMode="External"/><Relationship Id="rId32" Type="http://schemas.openxmlformats.org/officeDocument/2006/relationships/hyperlink" Target="COST.xlsx" TargetMode="External"/><Relationship Id="rId5" Type="http://schemas.openxmlformats.org/officeDocument/2006/relationships/hyperlink" Target="BRBY.xlsx" TargetMode="External"/><Relationship Id="rId15" Type="http://schemas.openxmlformats.org/officeDocument/2006/relationships/hyperlink" Target="HRMS.xlsx" TargetMode="External"/><Relationship Id="rId23" Type="http://schemas.openxmlformats.org/officeDocument/2006/relationships/hyperlink" Target="LEVI.xlsx" TargetMode="External"/><Relationship Id="rId28" Type="http://schemas.openxmlformats.org/officeDocument/2006/relationships/hyperlink" Target="WMT.xlsx" TargetMode="External"/><Relationship Id="rId10" Type="http://schemas.openxmlformats.org/officeDocument/2006/relationships/hyperlink" Target="BOSS.xlsx" TargetMode="External"/><Relationship Id="rId19" Type="http://schemas.openxmlformats.org/officeDocument/2006/relationships/hyperlink" Target="FTCH.xlsx" TargetMode="External"/><Relationship Id="rId31" Type="http://schemas.openxmlformats.org/officeDocument/2006/relationships/hyperlink" Target="SBRY.xlsx" TargetMode="External"/><Relationship Id="rId4" Type="http://schemas.openxmlformats.org/officeDocument/2006/relationships/hyperlink" Target="HNNMY.xlsx" TargetMode="External"/><Relationship Id="rId9" Type="http://schemas.openxmlformats.org/officeDocument/2006/relationships/hyperlink" Target="CPRI.xlsx" TargetMode="External"/><Relationship Id="rId14" Type="http://schemas.openxmlformats.org/officeDocument/2006/relationships/hyperlink" Target="KER.xlsx" TargetMode="External"/><Relationship Id="rId22" Type="http://schemas.openxmlformats.org/officeDocument/2006/relationships/hyperlink" Target="FL.xlsx" TargetMode="External"/><Relationship Id="rId27" Type="http://schemas.openxmlformats.org/officeDocument/2006/relationships/hyperlink" Target="MUL.xlsx" TargetMode="External"/><Relationship Id="rId30" Type="http://schemas.openxmlformats.org/officeDocument/2006/relationships/hyperlink" Target="TSCO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8755F-5318-4C17-A565-8EC4ADF46525}">
  <dimension ref="B1:AG38"/>
  <sheetViews>
    <sheetView tabSelected="1" workbookViewId="0">
      <pane xSplit="2" ySplit="2" topLeftCell="M3" activePane="bottomRight" state="frozen"/>
      <selection pane="topRight" activeCell="C1" sqref="C1"/>
      <selection pane="bottomLeft" activeCell="A3" sqref="A3"/>
      <selection pane="bottomRight" activeCell="U3" sqref="U3"/>
    </sheetView>
  </sheetViews>
  <sheetFormatPr defaultRowHeight="14.4" x14ac:dyDescent="0.3"/>
  <cols>
    <col min="2" max="2" width="16.88671875" bestFit="1" customWidth="1"/>
    <col min="3" max="3" width="10.21875" style="9" bestFit="1" customWidth="1"/>
    <col min="4" max="4" width="9.88671875" style="9" bestFit="1" customWidth="1"/>
    <col min="5" max="13" width="8.88671875" style="12"/>
    <col min="14" max="19" width="8.88671875" style="9"/>
    <col min="20" max="21" width="8.88671875" style="12"/>
    <col min="22" max="23" width="9.77734375" style="9" bestFit="1" customWidth="1"/>
    <col min="24" max="24" width="9.88671875" style="9" bestFit="1" customWidth="1"/>
    <col min="25" max="25" width="10" style="9" bestFit="1" customWidth="1"/>
    <col min="26" max="27" width="8.88671875" style="9"/>
    <col min="28" max="28" width="18.44140625" style="9" bestFit="1" customWidth="1"/>
    <col min="29" max="29" width="17" style="9" bestFit="1" customWidth="1"/>
    <col min="30" max="31" width="8.88671875" style="9"/>
    <col min="32" max="32" width="10.5546875" style="9" bestFit="1" customWidth="1"/>
    <col min="33" max="33" width="11.5546875" style="9" bestFit="1" customWidth="1"/>
  </cols>
  <sheetData>
    <row r="1" spans="2:33" x14ac:dyDescent="0.3"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</row>
    <row r="2" spans="2:33" x14ac:dyDescent="0.3">
      <c r="B2" s="1" t="s">
        <v>0</v>
      </c>
      <c r="C2" s="2" t="s">
        <v>1</v>
      </c>
      <c r="D2" s="2" t="s">
        <v>2</v>
      </c>
      <c r="E2" s="3" t="s">
        <v>3</v>
      </c>
      <c r="F2" s="3" t="s">
        <v>4</v>
      </c>
      <c r="G2" s="3" t="s">
        <v>5</v>
      </c>
      <c r="H2" s="2" t="s">
        <v>6</v>
      </c>
      <c r="I2" s="2" t="s">
        <v>7</v>
      </c>
      <c r="J2" s="2" t="s">
        <v>8</v>
      </c>
      <c r="K2" s="2" t="s">
        <v>86</v>
      </c>
      <c r="L2" s="2" t="s">
        <v>87</v>
      </c>
      <c r="M2" s="2" t="s">
        <v>88</v>
      </c>
      <c r="N2" s="2" t="s">
        <v>9</v>
      </c>
      <c r="O2" s="2" t="s">
        <v>10</v>
      </c>
      <c r="P2" s="2" t="s">
        <v>11</v>
      </c>
      <c r="Q2" s="2" t="s">
        <v>89</v>
      </c>
      <c r="R2" s="2" t="s">
        <v>90</v>
      </c>
      <c r="S2" s="2" t="s">
        <v>91</v>
      </c>
      <c r="T2" s="4" t="s">
        <v>103</v>
      </c>
      <c r="U2" s="4" t="s">
        <v>107</v>
      </c>
      <c r="V2" s="2" t="s">
        <v>92</v>
      </c>
      <c r="W2" s="2" t="s">
        <v>104</v>
      </c>
      <c r="X2" s="2" t="s">
        <v>105</v>
      </c>
      <c r="Y2" s="2" t="s">
        <v>106</v>
      </c>
      <c r="Z2" s="2" t="s">
        <v>12</v>
      </c>
      <c r="AA2" s="2" t="s">
        <v>13</v>
      </c>
      <c r="AB2" s="2" t="s">
        <v>14</v>
      </c>
      <c r="AC2" s="2" t="s">
        <v>15</v>
      </c>
      <c r="AD2" s="2" t="s">
        <v>16</v>
      </c>
      <c r="AE2"/>
      <c r="AF2" s="2" t="s">
        <v>20</v>
      </c>
      <c r="AG2" s="2" t="s">
        <v>21</v>
      </c>
    </row>
    <row r="3" spans="2:33" x14ac:dyDescent="0.3">
      <c r="B3" s="5" t="s">
        <v>17</v>
      </c>
      <c r="C3" s="2"/>
      <c r="D3" s="2"/>
      <c r="E3" s="3"/>
      <c r="F3" s="3"/>
      <c r="G3" s="3"/>
      <c r="H3" s="3"/>
      <c r="I3" s="3"/>
      <c r="J3" s="3"/>
      <c r="K3" s="3"/>
      <c r="L3" s="3"/>
      <c r="M3" s="3"/>
      <c r="N3" s="6">
        <f t="shared" ref="N3:U3" si="0">TRIMMEAN(N4:N1048576,80%)</f>
        <v>21.284290499890915</v>
      </c>
      <c r="O3" s="6">
        <f t="shared" si="0"/>
        <v>26.251166047313312</v>
      </c>
      <c r="P3" s="6">
        <f t="shared" si="0"/>
        <v>24.033030906710014</v>
      </c>
      <c r="Q3" s="6">
        <f t="shared" si="0"/>
        <v>19.253520436640294</v>
      </c>
      <c r="R3" s="6">
        <f t="shared" si="0"/>
        <v>18.680084366164444</v>
      </c>
      <c r="S3" s="6">
        <f t="shared" si="0"/>
        <v>17.808846254601399</v>
      </c>
      <c r="T3" s="3"/>
      <c r="U3" s="21">
        <f t="shared" si="0"/>
        <v>0.98589961550171934</v>
      </c>
      <c r="V3" s="7">
        <f>TRIMMEAN(V4:V1048576,80%)</f>
        <v>3.1459943241757861E-2</v>
      </c>
      <c r="W3" s="7">
        <f>TRIMMEAN(W4:W1048576,80%)</f>
        <v>2.1075588330559263E-2</v>
      </c>
      <c r="X3" s="7">
        <f>TRIMMEAN(X4:X1048576,80%)</f>
        <v>0.16008200267491957</v>
      </c>
      <c r="Y3" s="7">
        <f>TRIMMEAN(Y4:Y1048576,80%)</f>
        <v>2.5740421475799219E-2</v>
      </c>
      <c r="Z3" s="7">
        <f t="shared" ref="Z3:AA3" si="1">TRIMMEAN(Z12:Z1048576,80%)</f>
        <v>7.5999999999999998E-2</v>
      </c>
      <c r="AA3" s="7">
        <f t="shared" si="1"/>
        <v>-0.22397093414271882</v>
      </c>
      <c r="AB3" s="8" t="str">
        <f>INDEX(AB5:AB34,MODE(MATCH(AB5:AB34,AB5:AB34,0)))</f>
        <v>Overvalued</v>
      </c>
      <c r="AC3" s="2"/>
      <c r="AE3"/>
      <c r="AF3"/>
      <c r="AG3"/>
    </row>
    <row r="4" spans="2:33" x14ac:dyDescent="0.3">
      <c r="B4" s="10" t="s">
        <v>83</v>
      </c>
      <c r="C4" s="9" t="s">
        <v>84</v>
      </c>
      <c r="D4" s="15">
        <f>[1]Main!$D$3</f>
        <v>95.91</v>
      </c>
      <c r="E4" s="12">
        <f>[1]Main!$D$5</f>
        <v>768891.28799999994</v>
      </c>
      <c r="F4" s="12">
        <f>[1]Main!$D$8</f>
        <v>-30030</v>
      </c>
      <c r="G4" s="12">
        <f>[1]Main!$D$9</f>
        <v>798921.28799999994</v>
      </c>
      <c r="H4" s="12">
        <f>[1]Model!X13</f>
        <v>15511</v>
      </c>
      <c r="I4" s="12">
        <f>[1]Model!Y13</f>
        <v>19436</v>
      </c>
      <c r="J4" s="12">
        <f>[1]Model!Z13</f>
        <v>23548.148100000006</v>
      </c>
      <c r="K4" s="12">
        <f>[1]Model!AA13</f>
        <v>29771.666883000013</v>
      </c>
      <c r="L4" s="12">
        <f>[1]Model!AB13</f>
        <v>30390.350849909999</v>
      </c>
      <c r="M4" s="12">
        <f>[1]Model!AC13</f>
        <v>31021.641002450713</v>
      </c>
      <c r="N4" s="11">
        <f t="shared" ref="N4" si="2">$G4/H4</f>
        <v>51.506755721745854</v>
      </c>
      <c r="O4" s="11">
        <f t="shared" ref="O4" si="3">$G4/I4</f>
        <v>41.105231940728544</v>
      </c>
      <c r="P4" s="11">
        <f t="shared" ref="P4" si="4">$G4/J4</f>
        <v>33.927138754490834</v>
      </c>
      <c r="Q4" s="11">
        <f t="shared" ref="Q4" si="5">$G4/K4</f>
        <v>26.834953217086873</v>
      </c>
      <c r="R4" s="11">
        <f t="shared" ref="R4" si="6">$G4/L4</f>
        <v>26.288649708115035</v>
      </c>
      <c r="S4" s="11">
        <f t="shared" ref="S4" si="7">$G4/M4</f>
        <v>25.753675891513446</v>
      </c>
      <c r="T4" s="12">
        <f>[1]Model!$Y$3</f>
        <v>680985</v>
      </c>
      <c r="U4" s="20">
        <f>G4/T4</f>
        <v>1.1731848542919447</v>
      </c>
      <c r="V4" s="13">
        <f>[1]Model!X$17</f>
        <v>6.02595499019285E-2</v>
      </c>
      <c r="W4" s="13">
        <f>[1]Model!Y$17</f>
        <v>5.0700096432015451E-2</v>
      </c>
      <c r="X4" s="13">
        <f>[1]Model!$Y$18</f>
        <v>0.24851061330278934</v>
      </c>
      <c r="Y4" s="13">
        <f>[1]Model!$Y$20</f>
        <v>4.3096397130626962E-2</v>
      </c>
      <c r="Z4" s="13">
        <f>[1]Model!$AM$19</f>
        <v>0.05</v>
      </c>
      <c r="AA4" s="13">
        <f>[1]Model!$AM$25</f>
        <v>-0.29027089149658136</v>
      </c>
      <c r="AB4" s="9" t="str">
        <f>[1]Model!$AM$26</f>
        <v>Slightly overvalued</v>
      </c>
      <c r="AC4" s="9" t="s">
        <v>63</v>
      </c>
      <c r="AD4" s="9">
        <v>1945</v>
      </c>
      <c r="AF4" s="14">
        <f>[1]Main!$E$3</f>
        <v>45772</v>
      </c>
      <c r="AG4" s="14">
        <f>[1]Main!$G$3</f>
        <v>45792</v>
      </c>
    </row>
    <row r="5" spans="2:33" x14ac:dyDescent="0.3">
      <c r="B5" s="10" t="s">
        <v>48</v>
      </c>
      <c r="C5" s="9" t="s">
        <v>55</v>
      </c>
      <c r="D5" s="18">
        <f>[2]Main!$D$3</f>
        <v>630.4</v>
      </c>
      <c r="E5" s="12">
        <f>[2]Main!$D$5</f>
        <v>315263.03999999998</v>
      </c>
      <c r="F5" s="12">
        <f>[2]Main!$D$8</f>
        <v>-13621</v>
      </c>
      <c r="G5" s="12">
        <f>[2]Main!$D$9</f>
        <v>328884.03999999998</v>
      </c>
      <c r="H5" s="12">
        <f>[2]Model!Z16</f>
        <v>15174</v>
      </c>
      <c r="I5" s="12">
        <f>[2]Model!AA16</f>
        <v>14781.352341499993</v>
      </c>
      <c r="J5" s="12">
        <f>[2]Model!AB16</f>
        <v>15309.741958159999</v>
      </c>
      <c r="K5" s="12">
        <f>[2]Model!AC16</f>
        <v>15771.019859244794</v>
      </c>
      <c r="L5" s="12">
        <f>[2]Model!AD16</f>
        <v>16083.641932311391</v>
      </c>
      <c r="M5" s="12">
        <f>[2]Model!AE16</f>
        <v>16403.087535732939</v>
      </c>
      <c r="N5" s="11">
        <f t="shared" ref="N5:S5" si="8">$G5/H5</f>
        <v>21.674182153683933</v>
      </c>
      <c r="O5" s="11">
        <f t="shared" si="8"/>
        <v>22.249928991722097</v>
      </c>
      <c r="P5" s="11">
        <f t="shared" si="8"/>
        <v>21.482010663459079</v>
      </c>
      <c r="Q5" s="11">
        <f t="shared" si="8"/>
        <v>20.853695127852614</v>
      </c>
      <c r="R5" s="11">
        <f t="shared" si="8"/>
        <v>20.448356248175678</v>
      </c>
      <c r="S5" s="11">
        <f t="shared" si="8"/>
        <v>20.050130152847743</v>
      </c>
      <c r="T5" s="12">
        <f>[2]Model!$AA$3</f>
        <v>85370.434999999998</v>
      </c>
      <c r="U5" s="20">
        <f t="shared" ref="U5:U7" si="9">G5/T5</f>
        <v>3.8524348622564708</v>
      </c>
      <c r="V5" s="13">
        <f>[2]Model!Z$20</f>
        <v>8.8010204081632626E-2</v>
      </c>
      <c r="W5" s="13">
        <f>[2]Model!AA$20</f>
        <v>-9.0834329622880849E-3</v>
      </c>
      <c r="X5" s="13"/>
      <c r="Y5" s="13"/>
      <c r="Z5" s="13">
        <f>[2]Model!$AO$23</f>
        <v>0.05</v>
      </c>
      <c r="AA5" s="13">
        <f>[2]Model!$AO$29</f>
        <v>-5.705492944318058E-2</v>
      </c>
      <c r="AB5" s="9" t="str">
        <f>[2]Model!$AO$30</f>
        <v>Fairly valued</v>
      </c>
      <c r="AC5" s="9" t="s">
        <v>57</v>
      </c>
      <c r="AD5" s="9">
        <v>1987</v>
      </c>
      <c r="AF5" s="14">
        <f>[2]Main!$E$3</f>
        <v>45633</v>
      </c>
      <c r="AG5" s="14">
        <f>[2]Main!$G$3</f>
        <v>45680</v>
      </c>
    </row>
    <row r="6" spans="2:33" x14ac:dyDescent="0.3">
      <c r="B6" s="10" t="s">
        <v>32</v>
      </c>
      <c r="C6" s="9" t="s">
        <v>33</v>
      </c>
      <c r="D6" s="15">
        <f>[3]Main!$D$3</f>
        <v>126.5</v>
      </c>
      <c r="E6" s="12">
        <f>[3]Main!$D$5</f>
        <v>141313.15</v>
      </c>
      <c r="F6" s="12">
        <f>[3]Main!$D$8</f>
        <v>2469</v>
      </c>
      <c r="G6" s="12">
        <f>[3]Main!$D$9</f>
        <v>138844.15</v>
      </c>
      <c r="H6" s="12">
        <f>[3]Model!AU$11</f>
        <v>4474</v>
      </c>
      <c r="I6" s="12">
        <f>[3]Model!AV$11</f>
        <v>4864</v>
      </c>
      <c r="J6" s="12">
        <f>[3]Model!AW$11</f>
        <v>5404.1280000000015</v>
      </c>
      <c r="K6" s="12">
        <f>[3]Model!AX$11</f>
        <v>5319.3811200000018</v>
      </c>
      <c r="L6" s="12">
        <f>[3]Model!AY$11</f>
        <v>5424.3225216000028</v>
      </c>
      <c r="M6" s="12">
        <f>[3]Model!AZ$11</f>
        <v>5532.7981253760017</v>
      </c>
      <c r="N6" s="11">
        <f t="shared" ref="N6:S6" si="10">$G6/H6</f>
        <v>31.033560572194901</v>
      </c>
      <c r="O6" s="11">
        <f t="shared" si="10"/>
        <v>28.545261101973683</v>
      </c>
      <c r="P6" s="11">
        <f t="shared" si="10"/>
        <v>25.692239340000821</v>
      </c>
      <c r="Q6" s="11">
        <f t="shared" si="10"/>
        <v>26.101560852251914</v>
      </c>
      <c r="R6" s="11">
        <f t="shared" si="10"/>
        <v>25.596588227767359</v>
      </c>
      <c r="S6" s="11">
        <f t="shared" si="10"/>
        <v>25.094743537306329</v>
      </c>
      <c r="T6" s="12">
        <f>[3]Model!$AV$3</f>
        <v>56360</v>
      </c>
      <c r="U6" s="20">
        <f t="shared" si="9"/>
        <v>2.4635228885734564</v>
      </c>
      <c r="V6" s="13">
        <f>[3]Model!AU$15</f>
        <v>8.5729734059596385E-2</v>
      </c>
      <c r="W6" s="13">
        <f>[3]Model!AV$15</f>
        <v>3.9526347824483166E-2</v>
      </c>
      <c r="X6" s="13"/>
      <c r="Y6" s="13"/>
      <c r="Z6" s="13">
        <f>[3]Model!$BJ$18</f>
        <v>7.0000000000000007E-2</v>
      </c>
      <c r="AA6" s="13">
        <f>[3]Model!$BJ$24</f>
        <v>-0.46135684426871026</v>
      </c>
      <c r="AB6" s="9" t="str">
        <f>[3]Model!$BJ$25</f>
        <v>Overvalued</v>
      </c>
      <c r="AC6" s="9" t="s">
        <v>73</v>
      </c>
      <c r="AD6" s="9">
        <v>1976</v>
      </c>
      <c r="AF6" s="14">
        <f>[3]Main!$E$3</f>
        <v>45772</v>
      </c>
      <c r="AG6" s="14">
        <f>[3]Main!$G$3</f>
        <v>45798</v>
      </c>
    </row>
    <row r="7" spans="2:33" x14ac:dyDescent="0.3">
      <c r="B7" s="10" t="s">
        <v>79</v>
      </c>
      <c r="C7" s="9" t="s">
        <v>80</v>
      </c>
      <c r="D7" s="15">
        <f>[4]Main!$D$3</f>
        <v>58.29</v>
      </c>
      <c r="E7" s="12">
        <f>[4]Main!$D$5</f>
        <v>86036.04</v>
      </c>
      <c r="F7" s="12">
        <f>[4]Main!$D$8</f>
        <v>1433</v>
      </c>
      <c r="G7" s="12">
        <f>[4]Main!$D$9</f>
        <v>84603.04</v>
      </c>
      <c r="H7" s="12">
        <f>[4]Model!AQ13</f>
        <v>5700</v>
      </c>
      <c r="I7" s="12">
        <f>[4]Model!AR13</f>
        <v>4158.7407180000018</v>
      </c>
      <c r="J7" s="12">
        <f>[4]Model!AS13</f>
        <v>5447.0607473599994</v>
      </c>
      <c r="K7" s="12">
        <f>[4]Model!AT13</f>
        <v>5501.5313548336017</v>
      </c>
      <c r="L7" s="12">
        <f>[4]Model!AU13</f>
        <v>5556.5466683819395</v>
      </c>
      <c r="M7" s="12">
        <f>[4]Model!AV13</f>
        <v>5612.1121350657577</v>
      </c>
      <c r="N7" s="11">
        <f t="shared" ref="N7:S7" si="11">$G7/H7</f>
        <v>14.842638596491227</v>
      </c>
      <c r="O7" s="11">
        <f t="shared" si="11"/>
        <v>20.343427430764862</v>
      </c>
      <c r="P7" s="11">
        <f t="shared" si="11"/>
        <v>15.531870108297239</v>
      </c>
      <c r="Q7" s="11">
        <f t="shared" si="11"/>
        <v>15.378089216135875</v>
      </c>
      <c r="R7" s="11">
        <f t="shared" si="11"/>
        <v>15.225830907065216</v>
      </c>
      <c r="S7" s="11">
        <f t="shared" si="11"/>
        <v>15.075080106005169</v>
      </c>
      <c r="T7" s="12">
        <f>[4]Model!$AR$3</f>
        <v>46935.58</v>
      </c>
      <c r="U7" s="20">
        <f t="shared" si="9"/>
        <v>1.8025353047730526</v>
      </c>
      <c r="V7" s="13">
        <f>[4]Model!AP$17</f>
        <v>9.6488974523656568E-2</v>
      </c>
      <c r="W7" s="13">
        <f>[4]Model!AQ$17</f>
        <v>2.8310912392370824E-3</v>
      </c>
      <c r="X7" s="13"/>
      <c r="Y7" s="13"/>
      <c r="Z7" s="13">
        <f>[4]Model!$BE$20</f>
        <v>7.0000000000000007E-2</v>
      </c>
      <c r="AA7" s="13">
        <f>[4]Model!$BE$26</f>
        <v>-0.11787291905287733</v>
      </c>
      <c r="AB7" s="9" t="str">
        <f>[4]Model!$BE$27</f>
        <v>Slightly overvalued</v>
      </c>
      <c r="AC7" s="9" t="s">
        <v>78</v>
      </c>
      <c r="AD7" s="9">
        <v>1964</v>
      </c>
      <c r="AF7" s="14">
        <f>[4]Main!$E$3</f>
        <v>45772</v>
      </c>
      <c r="AG7" s="14">
        <f>[4]Main!$G$3</f>
        <v>45834</v>
      </c>
    </row>
    <row r="8" spans="2:33" x14ac:dyDescent="0.3">
      <c r="B8" s="10" t="s">
        <v>56</v>
      </c>
      <c r="C8" s="9" t="s">
        <v>59</v>
      </c>
      <c r="D8" s="18">
        <f>[5]Main!$D$3</f>
        <v>1049.08</v>
      </c>
      <c r="E8" s="12">
        <f>[5]Main!$D$5</f>
        <v>110750.32651999999</v>
      </c>
      <c r="F8" s="12">
        <f>[5]Main!$D$8</f>
        <v>4738.6000000000004</v>
      </c>
      <c r="G8" s="12">
        <f>[5]Main!$D$9</f>
        <v>106011.72651999998</v>
      </c>
      <c r="N8" s="11"/>
      <c r="O8" s="11"/>
      <c r="P8" s="11"/>
      <c r="Q8" s="11"/>
      <c r="R8" s="11"/>
      <c r="S8" s="11"/>
      <c r="V8" s="13"/>
      <c r="X8" s="13"/>
      <c r="Y8" s="13"/>
      <c r="Z8" s="13">
        <f>[5]Model!$AA$20</f>
        <v>0.06</v>
      </c>
      <c r="AA8" s="13">
        <f>[5]Model!$AA$26</f>
        <v>-0.468088241988178</v>
      </c>
      <c r="AB8" s="9" t="str">
        <f>[5]Model!$AA$27</f>
        <v>Overvalued</v>
      </c>
      <c r="AC8" s="9" t="s">
        <v>39</v>
      </c>
      <c r="AD8" s="9">
        <v>1837</v>
      </c>
      <c r="AF8" s="14">
        <f>[5]Main!$E$3</f>
        <v>44312</v>
      </c>
      <c r="AG8" s="14">
        <f>[5]Main!$G$3</f>
        <v>44407</v>
      </c>
    </row>
    <row r="9" spans="2:33" x14ac:dyDescent="0.3">
      <c r="B9" s="10" t="s">
        <v>34</v>
      </c>
      <c r="C9" s="9" t="s">
        <v>35</v>
      </c>
      <c r="D9" s="18">
        <f>[6]Main!$D$3</f>
        <v>31.81</v>
      </c>
      <c r="E9" s="12">
        <f>[6]Main!$D$5</f>
        <v>99084.968999999997</v>
      </c>
      <c r="F9" s="12">
        <f>[6]Main!$D$8</f>
        <v>7821</v>
      </c>
      <c r="G9" s="12">
        <f>[6]Main!$D$9</f>
        <v>91263.968999999997</v>
      </c>
      <c r="N9" s="11"/>
      <c r="O9" s="11"/>
      <c r="P9" s="11"/>
      <c r="Q9" s="11"/>
      <c r="R9" s="11"/>
      <c r="S9" s="11"/>
      <c r="V9" s="13"/>
      <c r="X9" s="13"/>
      <c r="Y9" s="13"/>
      <c r="Z9" s="13">
        <f>[6]Model!$AS$20</f>
        <v>0.06</v>
      </c>
      <c r="AA9" s="13">
        <f>[6]Model!$AS$26</f>
        <v>-0.15213785269085034</v>
      </c>
      <c r="AB9" s="9" t="str">
        <f>[6]Model!$AS$27</f>
        <v>Slightly overvalued</v>
      </c>
      <c r="AC9" s="9" t="s">
        <v>36</v>
      </c>
      <c r="AD9" s="9">
        <v>1985</v>
      </c>
      <c r="AF9" s="14">
        <f>[6]Main!$E$3</f>
        <v>44336</v>
      </c>
      <c r="AG9" s="14">
        <f>[6]Main!$G$3</f>
        <v>44356</v>
      </c>
    </row>
    <row r="10" spans="2:33" x14ac:dyDescent="0.3">
      <c r="B10" s="10" t="s">
        <v>54</v>
      </c>
      <c r="C10" s="9" t="s">
        <v>58</v>
      </c>
      <c r="D10" s="18">
        <f>[7]Main!$D$3</f>
        <v>238.2</v>
      </c>
      <c r="E10" s="12">
        <f>[7]Main!$D$5</f>
        <v>29203.319999999996</v>
      </c>
      <c r="F10" s="12">
        <f>[7]Main!$D$8</f>
        <v>-8147</v>
      </c>
      <c r="G10" s="12">
        <f>[7]Main!$D$9</f>
        <v>37350.319999999992</v>
      </c>
      <c r="H10" s="12">
        <f>[7]Model!W$13</f>
        <v>3074</v>
      </c>
      <c r="I10" s="12">
        <f>[7]Model!X$13</f>
        <v>1249.219313000001</v>
      </c>
      <c r="J10" s="12">
        <f>[7]Model!Y$13</f>
        <v>1564.8251266000002</v>
      </c>
      <c r="K10" s="12">
        <f>[7]Model!Z$13</f>
        <v>1798.630368944001</v>
      </c>
      <c r="L10" s="12">
        <f>[7]Model!AA$13</f>
        <v>1942.0887432851223</v>
      </c>
      <c r="M10" s="12">
        <f>[7]Model!AB$13</f>
        <v>1985.4714667782239</v>
      </c>
      <c r="N10" s="11">
        <f t="shared" ref="N10" si="12">$G10/H10</f>
        <v>12.150396877033179</v>
      </c>
      <c r="O10" s="11">
        <f t="shared" ref="O10" si="13">$G10/I10</f>
        <v>29.898929364374919</v>
      </c>
      <c r="P10" s="11">
        <f t="shared" ref="P10" si="14">$G10/J10</f>
        <v>23.868686260907328</v>
      </c>
      <c r="Q10" s="11">
        <f t="shared" ref="Q10" si="15">$G10/K10</f>
        <v>20.76597873854918</v>
      </c>
      <c r="R10" s="11">
        <f t="shared" ref="R10" si="16">$G10/L10</f>
        <v>19.232035677638706</v>
      </c>
      <c r="S10" s="11">
        <f t="shared" ref="S10" si="17">$G10/M10</f>
        <v>18.811814032567007</v>
      </c>
      <c r="T10" s="12">
        <f>[7]Model!$X$3</f>
        <v>17222.97</v>
      </c>
      <c r="U10" s="20">
        <f t="shared" ref="U10:U11" si="18">G10/T10</f>
        <v>2.1686340973711267</v>
      </c>
      <c r="V10" s="13">
        <f>[7]Model!W$17</f>
        <v>-3.8573043093705461E-2</v>
      </c>
      <c r="W10" s="13">
        <f>[7]Model!X$17</f>
        <v>-0.11975007666360005</v>
      </c>
      <c r="X10" s="13"/>
      <c r="Y10" s="13"/>
      <c r="Z10" s="13">
        <f>[7]Model!$AL$20</f>
        <v>0.08</v>
      </c>
      <c r="AA10" s="13">
        <f>[7]Model!$AL$26</f>
        <v>-0.36221624095538285</v>
      </c>
      <c r="AB10" s="9" t="str">
        <f>[7]Model!$AL$27</f>
        <v>Overvalued</v>
      </c>
      <c r="AC10" s="9" t="s">
        <v>39</v>
      </c>
      <c r="AD10" s="9">
        <v>1963</v>
      </c>
      <c r="AF10" s="14">
        <f>[7]Main!$E$3</f>
        <v>45633</v>
      </c>
      <c r="AG10" s="14">
        <f>[7]Main!$G$3</f>
        <v>45699</v>
      </c>
    </row>
    <row r="11" spans="2:33" x14ac:dyDescent="0.3">
      <c r="B11" s="10" t="s">
        <v>76</v>
      </c>
      <c r="C11" s="9" t="s">
        <v>77</v>
      </c>
      <c r="D11" s="18">
        <f>[8]Main!$D$3</f>
        <v>214.6</v>
      </c>
      <c r="E11" s="12">
        <f>[8]Main!$D$5</f>
        <v>38306.1</v>
      </c>
      <c r="F11" s="12">
        <f>[8]Main!$D$8</f>
        <v>-1377</v>
      </c>
      <c r="G11" s="12">
        <f>[8]Main!$D$9</f>
        <v>39683.1</v>
      </c>
      <c r="H11" s="12">
        <f>[8]Model!AH15</f>
        <v>-72</v>
      </c>
      <c r="I11" s="12">
        <f>[8]Model!AI15</f>
        <v>494.34177999999952</v>
      </c>
      <c r="J11" s="12">
        <f>[8]Model!AJ15</f>
        <v>900.33596912000257</v>
      </c>
      <c r="K11" s="12">
        <f>[8]Model!AK15</f>
        <v>1027.3668310135997</v>
      </c>
      <c r="L11" s="12">
        <f>[8]Model!AL15</f>
        <v>1082.7495337938735</v>
      </c>
      <c r="M11" s="12">
        <f>[8]Model!AM15</f>
        <v>1132.1146366113492</v>
      </c>
      <c r="N11" s="11"/>
      <c r="O11" s="11">
        <f t="shared" ref="O11" si="19">$G11/I11</f>
        <v>80.274622954183712</v>
      </c>
      <c r="P11" s="11">
        <f t="shared" ref="P11" si="20">$G11/J11</f>
        <v>44.075879850481435</v>
      </c>
      <c r="Q11" s="11">
        <f t="shared" ref="Q11" si="21">$G11/K11</f>
        <v>38.626028018491375</v>
      </c>
      <c r="R11" s="11">
        <f t="shared" ref="R11" si="22">$G11/L11</f>
        <v>36.650304397687783</v>
      </c>
      <c r="S11" s="11">
        <f t="shared" ref="S11" si="23">$G11/M11</f>
        <v>35.052192345803107</v>
      </c>
      <c r="T11" s="12">
        <f>[8]Model!$AI$3</f>
        <v>22752.170000000002</v>
      </c>
      <c r="U11" s="20">
        <f t="shared" si="18"/>
        <v>1.7441457232431015</v>
      </c>
      <c r="V11" s="13">
        <f>[8]Model!AH$19</f>
        <v>-4.8109812980320688E-2</v>
      </c>
      <c r="W11" s="13">
        <f>[8]Model!AI$19</f>
        <v>6.179624789994409E-2</v>
      </c>
      <c r="X11" s="13"/>
      <c r="Y11" s="13"/>
      <c r="Z11" s="13">
        <f>[8]Model!$AW$21</f>
        <v>0.06</v>
      </c>
      <c r="AA11" s="13">
        <f>[8]Model!$AW$27</f>
        <v>-0.55458425453295668</v>
      </c>
      <c r="AB11" s="9" t="str">
        <f>[8]Model!$AW$28</f>
        <v>Heavily overvalued</v>
      </c>
      <c r="AC11" s="9" t="s">
        <v>78</v>
      </c>
      <c r="AD11" s="9">
        <v>1949</v>
      </c>
      <c r="AF11" s="14">
        <f>[8]Main!$E$3</f>
        <v>45515</v>
      </c>
      <c r="AG11" s="14">
        <f>[8]Main!$G$3</f>
        <v>45594</v>
      </c>
    </row>
    <row r="12" spans="2:33" x14ac:dyDescent="0.3">
      <c r="B12" s="10" t="s">
        <v>25</v>
      </c>
      <c r="C12" s="9" t="s">
        <v>26</v>
      </c>
      <c r="D12" s="17">
        <f>[9]Main!$D$3</f>
        <v>195.4</v>
      </c>
      <c r="E12" s="12">
        <f>[9]Main!$D$9</f>
        <v>38422.119755830201</v>
      </c>
      <c r="F12" s="12">
        <f>[9]Main!$D$12</f>
        <v>-7030.131531760293</v>
      </c>
      <c r="G12" s="12">
        <f>[9]Main!$D$13</f>
        <v>45452.251287590494</v>
      </c>
      <c r="N12" s="11"/>
      <c r="O12" s="11"/>
      <c r="P12" s="11"/>
      <c r="Q12" s="11"/>
      <c r="R12" s="11"/>
      <c r="S12" s="11"/>
      <c r="V12" s="13"/>
      <c r="X12" s="13"/>
      <c r="Y12" s="13"/>
      <c r="Z12" s="13">
        <f>[9]Model!$AN$19</f>
        <v>0.06</v>
      </c>
      <c r="AA12" s="13">
        <f>[9]Model!$AN$25</f>
        <v>-0.27849092267171005</v>
      </c>
      <c r="AB12" s="9" t="str">
        <f>[9]Model!$AN$26</f>
        <v>Slightly overvalued</v>
      </c>
      <c r="AC12" s="9" t="s">
        <v>28</v>
      </c>
      <c r="AD12" s="9">
        <v>1947</v>
      </c>
      <c r="AF12" s="14">
        <f>[9]Main!$E$3</f>
        <v>44289</v>
      </c>
      <c r="AG12" s="14">
        <f>[9]Main!$G$3</f>
        <v>44362</v>
      </c>
    </row>
    <row r="13" spans="2:33" x14ac:dyDescent="0.3">
      <c r="B13" s="10" t="s">
        <v>97</v>
      </c>
      <c r="C13" s="9" t="s">
        <v>99</v>
      </c>
      <c r="D13" s="16">
        <f>[10]Main!$D$3</f>
        <v>3.452</v>
      </c>
      <c r="E13" s="12">
        <f>[10]Main!$D$5</f>
        <v>24498.844000000001</v>
      </c>
      <c r="F13" s="12">
        <f>[10]Main!$D$8</f>
        <v>-2649</v>
      </c>
      <c r="G13" s="12">
        <f>[10]Main!$D$9</f>
        <v>27147.844000000001</v>
      </c>
      <c r="H13" s="12">
        <f>[10]Model!L$19</f>
        <v>659</v>
      </c>
      <c r="I13" s="12">
        <f>[10]Model!M$19</f>
        <v>1760</v>
      </c>
      <c r="J13" s="12">
        <f>[10]Model!N$19</f>
        <v>1551.4449750000003</v>
      </c>
      <c r="K13" s="12">
        <f>[10]Model!O$19</f>
        <v>1576.8530364374908</v>
      </c>
      <c r="L13" s="12">
        <f>[10]Model!P$19</f>
        <v>1586.6243405648449</v>
      </c>
      <c r="M13" s="12">
        <f>[10]Model!Q$19</f>
        <v>1596.011417230156</v>
      </c>
      <c r="N13" s="11">
        <f t="shared" ref="N13:S13" si="24">$G13/H13</f>
        <v>41.195514415781489</v>
      </c>
      <c r="O13" s="11">
        <f t="shared" si="24"/>
        <v>15.424911363636364</v>
      </c>
      <c r="P13" s="11">
        <f t="shared" si="24"/>
        <v>17.498425298647796</v>
      </c>
      <c r="Q13" s="11">
        <f t="shared" si="24"/>
        <v>17.216470636562196</v>
      </c>
      <c r="R13" s="11">
        <f t="shared" si="24"/>
        <v>17.110442154401373</v>
      </c>
      <c r="S13" s="11">
        <f t="shared" si="24"/>
        <v>17.009805636048963</v>
      </c>
      <c r="T13" s="12">
        <f>[10]Model!$M$3</f>
        <v>67673</v>
      </c>
      <c r="U13" s="20">
        <f>G13/T13</f>
        <v>0.40116211783133598</v>
      </c>
      <c r="V13" s="13">
        <f>[10]Model!L$23</f>
        <v>5.7381324986958804E-2</v>
      </c>
      <c r="W13" s="13">
        <f>[10]Model!M$23</f>
        <v>4.3305994079920973E-2</v>
      </c>
      <c r="X13" s="13">
        <f>[10]Model!$M$25</f>
        <v>7.1653392047049777E-2</v>
      </c>
      <c r="Y13" s="13">
        <f>[10]Model!$M$27</f>
        <v>4.1685753550160333E-2</v>
      </c>
      <c r="Z13" s="13">
        <f>[10]Model!$AB$25</f>
        <v>7.0000000000000007E-2</v>
      </c>
      <c r="AA13" s="13">
        <f>[10]Model!$AB$31</f>
        <v>-0.21807546494852925</v>
      </c>
      <c r="AB13" s="9" t="str">
        <f>[10]Model!$AB$32</f>
        <v>Slightly overvalued</v>
      </c>
      <c r="AC13" s="9" t="s">
        <v>63</v>
      </c>
      <c r="AD13" s="9">
        <v>1947</v>
      </c>
      <c r="AF13" s="14">
        <f>[10]Main!$E$3</f>
        <v>45605</v>
      </c>
      <c r="AG13" s="14">
        <f>[10]Main!$G$3</f>
        <v>45757</v>
      </c>
    </row>
    <row r="14" spans="2:33" x14ac:dyDescent="0.3">
      <c r="B14" s="10" t="s">
        <v>64</v>
      </c>
      <c r="C14" s="9" t="s">
        <v>65</v>
      </c>
      <c r="D14" s="15">
        <f>[11]Main!$D$3</f>
        <v>37.11</v>
      </c>
      <c r="E14" s="12">
        <f>[11]Main!$D$5</f>
        <v>13177.761</v>
      </c>
      <c r="F14" s="12">
        <f>[11]Main!$D$8</f>
        <v>-2054.2000000000007</v>
      </c>
      <c r="G14" s="12">
        <f>[11]Main!$D$9</f>
        <v>15231.961000000001</v>
      </c>
      <c r="N14" s="11"/>
      <c r="O14" s="11"/>
      <c r="P14" s="11"/>
      <c r="Q14" s="11"/>
      <c r="R14" s="11"/>
      <c r="S14" s="11"/>
      <c r="V14" s="13"/>
      <c r="X14" s="13"/>
      <c r="Y14" s="13"/>
      <c r="Z14" s="13">
        <f>[11]Model!$AO$23</f>
        <v>7.0000000000000007E-2</v>
      </c>
      <c r="AA14" s="13">
        <f>[11]Model!$AO$29</f>
        <v>-0.17579359601320499</v>
      </c>
      <c r="AB14" s="9" t="str">
        <f>[11]Model!$AO$30</f>
        <v>Slightly overvalued</v>
      </c>
      <c r="AC14" s="9" t="s">
        <v>27</v>
      </c>
      <c r="AD14" s="9">
        <v>2007</v>
      </c>
      <c r="AF14" s="14">
        <f>[11]Main!$E$3</f>
        <v>44330</v>
      </c>
      <c r="AG14" s="14" t="str">
        <f>[11]Main!$G$3</f>
        <v>August?</v>
      </c>
    </row>
    <row r="15" spans="2:33" x14ac:dyDescent="0.3">
      <c r="B15" s="19" t="s">
        <v>37</v>
      </c>
      <c r="C15" s="9" t="s">
        <v>38</v>
      </c>
      <c r="D15" s="16">
        <f>[12]Main!$D$3</f>
        <v>98.62</v>
      </c>
      <c r="E15" s="12">
        <f>[12]Main!$D$5</f>
        <v>12505.016</v>
      </c>
      <c r="F15" s="12">
        <f>[12]Main!$D$8</f>
        <v>-668.9</v>
      </c>
      <c r="G15" s="12">
        <f>[12]Main!$D$9</f>
        <v>13173.915999999999</v>
      </c>
      <c r="H15" s="12">
        <f>[12]Model!AC15</f>
        <v>802.30000000000018</v>
      </c>
      <c r="I15" s="12">
        <f>[12]Model!AD15</f>
        <v>676.84562400000016</v>
      </c>
      <c r="J15" s="12">
        <f>[12]Model!AE15</f>
        <v>815.73031800000001</v>
      </c>
      <c r="K15" s="12">
        <f>[12]Model!AF15</f>
        <v>837.98311428000011</v>
      </c>
      <c r="L15" s="12">
        <f>[12]Model!AG15</f>
        <v>851.56556701320005</v>
      </c>
      <c r="M15" s="12">
        <f>[12]Model!AH15</f>
        <v>856.03179311909958</v>
      </c>
      <c r="N15" s="11">
        <f t="shared" ref="N15" si="25">$G15/H15</f>
        <v>16.420186962482855</v>
      </c>
      <c r="O15" s="11">
        <f t="shared" ref="O15" si="26">$G15/I15</f>
        <v>19.463693836336301</v>
      </c>
      <c r="P15" s="11">
        <f t="shared" ref="P15" si="27">$G15/J15</f>
        <v>16.149842306094108</v>
      </c>
      <c r="Q15" s="11">
        <f t="shared" ref="Q15" si="28">$G15/K15</f>
        <v>15.720980262614365</v>
      </c>
      <c r="R15" s="11">
        <f t="shared" ref="R15" si="29">$G15/L15</f>
        <v>15.470230960848363</v>
      </c>
      <c r="S15" s="11">
        <f t="shared" ref="S15" si="30">$G15/M15</f>
        <v>15.389517195381918</v>
      </c>
      <c r="T15" s="12">
        <f>[12]Model!$AD$3</f>
        <v>5983.1200000000008</v>
      </c>
      <c r="U15" s="20">
        <f>G15/T15</f>
        <v>2.2018471967802746</v>
      </c>
      <c r="V15" s="13">
        <f>[12]Model!AC$19</f>
        <v>9.0782677791021005E-2</v>
      </c>
      <c r="W15" s="13">
        <f>[12]Model!AD$19</f>
        <v>8.9623019486432476E-2</v>
      </c>
      <c r="X15" s="13"/>
      <c r="Y15" s="13"/>
      <c r="Z15" s="13">
        <f>[12]Model!$AR$22</f>
        <v>0.08</v>
      </c>
      <c r="AA15" s="13">
        <f>[12]Model!$AR$28</f>
        <v>-0.24354692695337765</v>
      </c>
      <c r="AB15" s="9" t="str">
        <f>[12]Model!$AR$29</f>
        <v>Slightly overvalued</v>
      </c>
      <c r="AC15" s="9" t="s">
        <v>28</v>
      </c>
      <c r="AD15" s="9">
        <v>1864</v>
      </c>
      <c r="AF15" s="14">
        <f>[12]Main!$E$3</f>
        <v>45605</v>
      </c>
      <c r="AG15" s="14">
        <f>[12]Main!$G$3</f>
        <v>45664</v>
      </c>
    </row>
    <row r="16" spans="2:33" x14ac:dyDescent="0.3">
      <c r="B16" s="10" t="s">
        <v>47</v>
      </c>
      <c r="C16" s="9" t="s">
        <v>72</v>
      </c>
      <c r="D16" s="15">
        <f>[13]Main!$D$3</f>
        <v>23.91</v>
      </c>
      <c r="E16" s="12">
        <f>[13]Main!$D$5</f>
        <v>9525.7439999999988</v>
      </c>
      <c r="F16" s="12">
        <f>[13]Main!$D$8</f>
        <v>29.400000000000091</v>
      </c>
      <c r="G16" s="12">
        <f>[13]Main!$D$9</f>
        <v>9496.3439999999991</v>
      </c>
      <c r="N16" s="11"/>
      <c r="O16" s="11"/>
      <c r="P16" s="11"/>
      <c r="Q16" s="11"/>
      <c r="R16" s="11"/>
      <c r="S16" s="11"/>
      <c r="V16" s="13"/>
      <c r="X16" s="13"/>
      <c r="Y16" s="13"/>
      <c r="Z16" s="13">
        <f>[13]Model!$AP$21</f>
        <v>7.0000000000000007E-2</v>
      </c>
      <c r="AA16" s="13">
        <f>[13]Model!$AP$27</f>
        <v>-0.19115467120529295</v>
      </c>
      <c r="AB16" s="9" t="str">
        <f>[13]Model!$AP$28</f>
        <v>Slightly overvalued</v>
      </c>
      <c r="AC16" s="9" t="s">
        <v>39</v>
      </c>
      <c r="AD16" s="9">
        <v>1853</v>
      </c>
      <c r="AF16" s="14">
        <f>[13]Main!$E$3</f>
        <v>44282</v>
      </c>
      <c r="AG16" s="14">
        <f>[13]Main!$G$3</f>
        <v>44390</v>
      </c>
    </row>
    <row r="17" spans="2:33" x14ac:dyDescent="0.3">
      <c r="B17" s="10" t="s">
        <v>40</v>
      </c>
      <c r="C17" s="9" t="s">
        <v>41</v>
      </c>
      <c r="D17" s="15">
        <f>[14]Main!$D$3</f>
        <v>100.98</v>
      </c>
      <c r="E17" s="12">
        <f>[14]Main!$D$5</f>
        <v>7189.7760000000007</v>
      </c>
      <c r="F17" s="12">
        <f>[14]Main!$D$8</f>
        <v>-1903.3999999999996</v>
      </c>
      <c r="G17" s="12">
        <f>[14]Main!$D$9</f>
        <v>9093.1759999999995</v>
      </c>
      <c r="N17" s="11"/>
      <c r="O17" s="11"/>
      <c r="P17" s="11"/>
      <c r="Q17" s="11"/>
      <c r="R17" s="11"/>
      <c r="S17" s="11"/>
      <c r="V17" s="13"/>
      <c r="X17" s="13"/>
      <c r="Y17" s="13"/>
      <c r="Z17" s="13">
        <f>[14]Model!$AI$21</f>
        <v>7.0000000000000007E-2</v>
      </c>
      <c r="AA17" s="13">
        <f>[14]Model!$AI$27</f>
        <v>-0.43205430167391579</v>
      </c>
      <c r="AB17" s="9" t="str">
        <f>[14]Model!$AI$28</f>
        <v>Overvalued</v>
      </c>
      <c r="AC17" s="9" t="s">
        <v>39</v>
      </c>
      <c r="AD17" s="9">
        <v>1881</v>
      </c>
      <c r="AF17" s="14">
        <f>[14]Main!$E$3</f>
        <v>44289</v>
      </c>
      <c r="AG17" s="14">
        <f>[14]Main!$G$3</f>
        <v>44342</v>
      </c>
    </row>
    <row r="18" spans="2:33" x14ac:dyDescent="0.3">
      <c r="B18" s="10" t="s">
        <v>18</v>
      </c>
      <c r="C18" s="9" t="s">
        <v>19</v>
      </c>
      <c r="D18" s="15">
        <f>[15]Main!$D$3</f>
        <v>122.5</v>
      </c>
      <c r="E18" s="12">
        <f>[15]Main!$D$5</f>
        <v>8966.9999999999982</v>
      </c>
      <c r="F18" s="12">
        <f>[15]Main!$D$8</f>
        <v>1143.5999999999999</v>
      </c>
      <c r="G18" s="12">
        <f>[15]Main!$D$9</f>
        <v>7823.3999999999978</v>
      </c>
      <c r="N18" s="11"/>
      <c r="O18" s="11"/>
      <c r="P18" s="11"/>
      <c r="Q18" s="11"/>
      <c r="R18" s="11"/>
      <c r="S18" s="11"/>
      <c r="V18" s="13"/>
      <c r="X18" s="13"/>
      <c r="Y18" s="13"/>
      <c r="Z18" s="13">
        <f>[15]Model!$AP$23</f>
        <v>7.0000000000000007E-2</v>
      </c>
      <c r="AA18" s="13">
        <f>[15]Model!$AP$29</f>
        <v>-0.12941289817966728</v>
      </c>
      <c r="AB18" s="9" t="str">
        <f>[15]Model!$AP$30</f>
        <v>Slightly overvalued</v>
      </c>
      <c r="AC18" s="9" t="s">
        <v>29</v>
      </c>
      <c r="AD18" s="9">
        <v>1967</v>
      </c>
      <c r="AF18" s="14">
        <f>[15]Main!$E$3</f>
        <v>44336</v>
      </c>
      <c r="AG18" s="14" t="str">
        <f>[15]Main!$G$3</f>
        <v>August?</v>
      </c>
    </row>
    <row r="19" spans="2:33" x14ac:dyDescent="0.3">
      <c r="B19" s="10" t="s">
        <v>30</v>
      </c>
      <c r="C19" s="9" t="s">
        <v>31</v>
      </c>
      <c r="D19" s="16">
        <f>[16]Main!$D$3</f>
        <v>20.190000000000001</v>
      </c>
      <c r="E19" s="12">
        <f>[16]Main!$D$5</f>
        <v>8178.969000000001</v>
      </c>
      <c r="F19" s="12">
        <f>[16]Main!$D$8</f>
        <v>918.8</v>
      </c>
      <c r="G19" s="12">
        <f>[16]Main!$D$9</f>
        <v>7260.1690000000008</v>
      </c>
      <c r="N19" s="11"/>
      <c r="O19" s="11"/>
      <c r="P19" s="11"/>
      <c r="Q19" s="11"/>
      <c r="R19" s="11"/>
      <c r="S19" s="11"/>
      <c r="V19" s="13"/>
      <c r="X19" s="13"/>
      <c r="Y19" s="13"/>
      <c r="Z19" s="13">
        <f>[16]Model!$AL$21</f>
        <v>0.09</v>
      </c>
      <c r="AA19" s="13">
        <f>[16]Model!$AL$27</f>
        <v>-0.18858668493468422</v>
      </c>
      <c r="AB19" s="9" t="str">
        <f>[16]Model!$AL$28</f>
        <v>Fairly valued</v>
      </c>
      <c r="AC19" s="9" t="s">
        <v>29</v>
      </c>
      <c r="AD19" s="9">
        <v>1856</v>
      </c>
      <c r="AF19" s="14">
        <f>[16]Main!$E$3</f>
        <v>44329</v>
      </c>
      <c r="AG19" s="14" t="str">
        <f>[16]Main!$G$3</f>
        <v>August?</v>
      </c>
    </row>
    <row r="20" spans="2:33" x14ac:dyDescent="0.3">
      <c r="B20" s="10" t="s">
        <v>44</v>
      </c>
      <c r="C20" s="9" t="s">
        <v>68</v>
      </c>
      <c r="D20" s="15">
        <f>[17]Main!$D$3</f>
        <v>11.54</v>
      </c>
      <c r="E20" s="12">
        <f>[17]Main!$D$5</f>
        <v>4472.9039999999995</v>
      </c>
      <c r="F20" s="12">
        <f>[17]Main!$D$8</f>
        <v>-3278.4999999999995</v>
      </c>
      <c r="G20" s="12">
        <f>[17]Main!$D$9</f>
        <v>7751.4039999999986</v>
      </c>
      <c r="H20" s="12">
        <f>[17]Model!AH$15</f>
        <v>-968.79999999999882</v>
      </c>
      <c r="I20" s="12">
        <f>[17]Model!AI$15</f>
        <v>160.69069000000093</v>
      </c>
      <c r="J20" s="12">
        <f>[17]Model!AJ$15</f>
        <v>225.49504237500187</v>
      </c>
      <c r="K20" s="12">
        <f>[17]Model!AK$15</f>
        <v>265.70294237827682</v>
      </c>
      <c r="L20" s="12">
        <f>[17]Model!AL$15</f>
        <v>343.79544664348964</v>
      </c>
      <c r="M20" s="12">
        <f>[17]Model!AM$15</f>
        <v>419.80418408678042</v>
      </c>
      <c r="N20" s="11"/>
      <c r="O20" s="11">
        <f>$G20/I20</f>
        <v>48.238040424121358</v>
      </c>
      <c r="P20" s="11">
        <f>$G20/J20</f>
        <v>34.375052854196632</v>
      </c>
      <c r="Q20" s="11">
        <f>$G20/K20</f>
        <v>29.17319594061723</v>
      </c>
      <c r="R20" s="11">
        <f>$G20/L20</f>
        <v>22.546558064330853</v>
      </c>
      <c r="S20" s="11">
        <f>$G20/M20</f>
        <v>18.464332405028284</v>
      </c>
      <c r="T20" s="12">
        <f>[17]Model!$AI$3</f>
        <v>10247.243000000002</v>
      </c>
      <c r="U20" s="20">
        <f t="shared" ref="U20:U23" si="31">G20/T20</f>
        <v>0.75643799995764682</v>
      </c>
      <c r="V20" s="13">
        <f>[17]Model!AH$19</f>
        <v>-9.9702906350914944E-2</v>
      </c>
      <c r="W20" s="13">
        <f>[17]Model!AI$19</f>
        <v>-1.9843419705969367E-2</v>
      </c>
      <c r="X20" s="13"/>
      <c r="Y20" s="13"/>
      <c r="Z20" s="13">
        <f>[17]Model!$AW$22</f>
        <v>0.08</v>
      </c>
      <c r="AA20" s="13">
        <f>[17]Model!$AW$28</f>
        <v>-0.6013239207469645</v>
      </c>
      <c r="AB20" s="9" t="str">
        <f>[17]Model!$AW$29</f>
        <v>Heavily overvalued</v>
      </c>
      <c r="AC20" s="9" t="s">
        <v>39</v>
      </c>
      <c r="AD20" s="9">
        <v>1899</v>
      </c>
      <c r="AF20" s="14">
        <f>[17]Main!$E$3</f>
        <v>45772</v>
      </c>
      <c r="AG20" s="14">
        <f>[17]Main!$G$3</f>
        <v>45798</v>
      </c>
    </row>
    <row r="21" spans="2:33" x14ac:dyDescent="0.3">
      <c r="B21" s="10" t="s">
        <v>61</v>
      </c>
      <c r="C21" s="9" t="s">
        <v>62</v>
      </c>
      <c r="D21" s="16">
        <f>[18]Main!$D$3</f>
        <v>3.1880000000000002</v>
      </c>
      <c r="E21" s="12">
        <f>[18]Main!$D$5</f>
        <v>6290.5616000000009</v>
      </c>
      <c r="F21" s="12">
        <f>[18]Main!$D$8</f>
        <v>-1426.6000000000004</v>
      </c>
      <c r="G21" s="12">
        <f>[18]Main!$D$9</f>
        <v>7717.1616000000013</v>
      </c>
      <c r="H21" s="12">
        <f>[18]Model!X18</f>
        <v>431.19999999999783</v>
      </c>
      <c r="I21" s="12">
        <f>[18]Model!Y18</f>
        <v>516.59015999999951</v>
      </c>
      <c r="J21" s="12">
        <f>[18]Model!Z18</f>
        <v>569.06173231999992</v>
      </c>
      <c r="K21" s="12">
        <f>[18]Model!AA18</f>
        <v>599.1788431942399</v>
      </c>
      <c r="L21" s="12">
        <f>[18]Model!AB18</f>
        <v>597.16944045331923</v>
      </c>
      <c r="M21" s="12">
        <f>[18]Model!AC18</f>
        <v>595.00950077352388</v>
      </c>
      <c r="N21" s="11">
        <f t="shared" ref="N21" si="32">$G21/H21</f>
        <v>17.896942486085436</v>
      </c>
      <c r="O21" s="11">
        <f t="shared" ref="O21" si="33">$G21/I21</f>
        <v>14.938653883767373</v>
      </c>
      <c r="P21" s="11">
        <f t="shared" ref="P21" si="34">$G21/J21</f>
        <v>13.56120287431385</v>
      </c>
      <c r="Q21" s="11">
        <f t="shared" ref="Q21" si="35">$G21/K21</f>
        <v>12.879562901219254</v>
      </c>
      <c r="R21" s="11">
        <f t="shared" ref="R21" si="36">$G21/L21</f>
        <v>12.922901068316225</v>
      </c>
      <c r="S21" s="11">
        <f t="shared" ref="S21" si="37">$G21/M21</f>
        <v>12.969812397898759</v>
      </c>
      <c r="T21" s="12">
        <f>[18]Model!$Y$6</f>
        <v>13825.668000000001</v>
      </c>
      <c r="U21" s="20">
        <f t="shared" si="31"/>
        <v>0.55817640059055373</v>
      </c>
      <c r="V21" s="13">
        <f>[18]Model!X$25</f>
        <v>9.2932035905559207E-2</v>
      </c>
      <c r="W21" s="13">
        <f>[18]Model!Y$25</f>
        <v>6.0242482803046116E-2</v>
      </c>
      <c r="X21" s="13"/>
      <c r="Y21" s="13"/>
      <c r="Z21" s="13">
        <f>[18]Model!$AL$28</f>
        <v>7.0000000000000007E-2</v>
      </c>
      <c r="AA21" s="13">
        <f>[18]Model!$AL$34</f>
        <v>0.20243799453487643</v>
      </c>
      <c r="AB21" s="9" t="str">
        <f>[18]Model!$AL$35</f>
        <v>Slightly undervalued</v>
      </c>
      <c r="AC21" s="9" t="s">
        <v>63</v>
      </c>
      <c r="AD21" s="9">
        <v>1884</v>
      </c>
      <c r="AF21" s="14">
        <f>[18]Main!$E$3</f>
        <v>45515</v>
      </c>
      <c r="AG21" s="14">
        <f>[18]Main!$G$3</f>
        <v>45571</v>
      </c>
    </row>
    <row r="22" spans="2:33" x14ac:dyDescent="0.3">
      <c r="B22" s="10" t="s">
        <v>42</v>
      </c>
      <c r="C22" s="9" t="s">
        <v>43</v>
      </c>
      <c r="D22" s="15">
        <f>[19]Main!$D$3</f>
        <v>30.54</v>
      </c>
      <c r="E22" s="12">
        <f>[19]Main!$D$5</f>
        <v>3597.6119999999996</v>
      </c>
      <c r="F22" s="12">
        <f>[19]Main!$D$8</f>
        <v>-1500</v>
      </c>
      <c r="G22" s="12">
        <f>[19]Main!$D$9</f>
        <v>5097.6119999999992</v>
      </c>
      <c r="H22" s="12">
        <f>[19]Model!AK18</f>
        <v>-229</v>
      </c>
      <c r="I22" s="12">
        <f>[19]Model!AL18</f>
        <v>209.68728000000007</v>
      </c>
      <c r="J22" s="12">
        <f>[19]Model!AM18</f>
        <v>203.17963776000002</v>
      </c>
      <c r="K22" s="12">
        <f>[19]Model!AN18</f>
        <v>240.16662641791987</v>
      </c>
      <c r="L22" s="12">
        <f>[19]Model!AO18</f>
        <v>250.95131874385646</v>
      </c>
      <c r="M22" s="12">
        <f>[19]Model!AP18</f>
        <v>261.72781394280128</v>
      </c>
      <c r="N22" s="11"/>
      <c r="O22" s="11">
        <f t="shared" ref="O22:S23" si="38">$G22/I22</f>
        <v>24.310544731182539</v>
      </c>
      <c r="P22" s="11">
        <f t="shared" si="38"/>
        <v>25.089187362472828</v>
      </c>
      <c r="Q22" s="11">
        <f t="shared" si="38"/>
        <v>21.225313758330095</v>
      </c>
      <c r="R22" s="11">
        <f t="shared" si="38"/>
        <v>20.31315087530216</v>
      </c>
      <c r="S22" s="11">
        <f t="shared" si="38"/>
        <v>19.476768338859259</v>
      </c>
      <c r="T22" s="12">
        <f>[19]Model!$AL$3</f>
        <v>4958.3999999999996</v>
      </c>
      <c r="U22" s="20">
        <f t="shared" si="31"/>
        <v>1.0280759922555662</v>
      </c>
      <c r="V22" s="13">
        <f>[19]Model!AK$22</f>
        <v>-7.9907456842854607E-2</v>
      </c>
      <c r="W22" s="13">
        <f>[19]Model!AL$22</f>
        <v>-4.0928433268858866E-2</v>
      </c>
      <c r="X22" s="13"/>
      <c r="Y22" s="13"/>
      <c r="Z22" s="13">
        <f>[19]Model!$AZ$25</f>
        <v>0.08</v>
      </c>
      <c r="AA22" s="13">
        <f>[19]Model!$AZ$31</f>
        <v>-0.46354459659633762</v>
      </c>
      <c r="AB22" s="9" t="str">
        <f>[19]Model!$AZ$32</f>
        <v>Overvalued</v>
      </c>
      <c r="AC22" s="9" t="s">
        <v>29</v>
      </c>
      <c r="AD22" s="9">
        <v>1981</v>
      </c>
      <c r="AF22" s="14">
        <f>[19]Main!$E$3</f>
        <v>45515</v>
      </c>
      <c r="AG22" s="14">
        <f>[19]Main!$G$3</f>
        <v>45602</v>
      </c>
    </row>
    <row r="23" spans="2:33" x14ac:dyDescent="0.3">
      <c r="B23" s="10" t="s">
        <v>98</v>
      </c>
      <c r="C23" s="9" t="s">
        <v>100</v>
      </c>
      <c r="D23" s="16">
        <f>[20]Main!$D$3</f>
        <v>2.492</v>
      </c>
      <c r="E23" s="12">
        <f>[20]Main!$D$5</f>
        <v>5818.3216000000002</v>
      </c>
      <c r="F23" s="12">
        <f>[20]Main!$D$8</f>
        <v>792</v>
      </c>
      <c r="G23" s="12">
        <f>[20]Main!$D$9</f>
        <v>5026.3216000000002</v>
      </c>
      <c r="H23" s="12">
        <f>[20]Model!P$14</f>
        <v>207</v>
      </c>
      <c r="I23" s="12">
        <f>[20]Model!Q$14</f>
        <v>137</v>
      </c>
      <c r="J23" s="12">
        <f>[20]Model!R$14</f>
        <v>29.962259999999787</v>
      </c>
      <c r="K23" s="12">
        <f>[20]Model!S$14</f>
        <v>276.50670880000001</v>
      </c>
      <c r="L23" s="12">
        <f>[20]Model!T$14</f>
        <v>278.23983588800036</v>
      </c>
      <c r="M23" s="12">
        <f>[20]Model!U$14</f>
        <v>279.98047044688002</v>
      </c>
      <c r="N23" s="11">
        <f t="shared" ref="N23:P23" si="39">$G23/H23</f>
        <v>24.281746859903382</v>
      </c>
      <c r="O23" s="11">
        <f t="shared" si="39"/>
        <v>36.688478832116793</v>
      </c>
      <c r="P23" s="11">
        <f t="shared" si="39"/>
        <v>167.75508923559292</v>
      </c>
      <c r="Q23" s="11">
        <f t="shared" si="38"/>
        <v>18.177937243597178</v>
      </c>
      <c r="R23" s="11">
        <f t="shared" si="38"/>
        <v>18.064708757315547</v>
      </c>
      <c r="S23" s="11">
        <f t="shared" si="38"/>
        <v>17.952400722726949</v>
      </c>
      <c r="T23" s="12">
        <f>[20]Model!$R$3</f>
        <v>33407.74</v>
      </c>
      <c r="U23" s="20">
        <f t="shared" si="31"/>
        <v>0.15045380501644232</v>
      </c>
      <c r="V23" s="13">
        <f>[20]Model!Q$18</f>
        <v>3.8391921501381265E-2</v>
      </c>
      <c r="W23" s="13">
        <f>[20]Model!R$18</f>
        <v>2.164342507645256E-2</v>
      </c>
      <c r="X23" s="13">
        <f>[20]Model!$R$19</f>
        <v>6.9993714031538798E-2</v>
      </c>
      <c r="Y23" s="13">
        <f>[20]Model!$R$21</f>
        <v>9.7950894014381049E-3</v>
      </c>
      <c r="Z23" s="13">
        <f>[20]Model!$AE$20</f>
        <v>0.08</v>
      </c>
      <c r="AA23" s="13">
        <f>[20]Model!$AE$26</f>
        <v>-0.31952500833907249</v>
      </c>
      <c r="AB23" s="9" t="str">
        <f>[20]Model!$AE$27</f>
        <v>Overvalued</v>
      </c>
      <c r="AC23" s="9" t="s">
        <v>63</v>
      </c>
      <c r="AD23" s="9">
        <v>1869</v>
      </c>
      <c r="AF23" s="14">
        <f>[20]Main!$E$3</f>
        <v>45606</v>
      </c>
      <c r="AG23" s="14">
        <f>[20]Main!$G$3</f>
        <v>45764</v>
      </c>
    </row>
    <row r="24" spans="2:33" x14ac:dyDescent="0.3">
      <c r="B24" s="10" t="s">
        <v>74</v>
      </c>
      <c r="C24" s="9" t="s">
        <v>75</v>
      </c>
      <c r="D24" s="16">
        <f>[21]Main!$D$3</f>
        <v>3.6</v>
      </c>
      <c r="E24" s="12">
        <f>[21]Main!$D$5</f>
        <v>5496.48</v>
      </c>
      <c r="F24" s="12">
        <f>[21]Main!$D$8</f>
        <v>1626.7</v>
      </c>
      <c r="G24" s="12">
        <f>[21]Main!$D$9</f>
        <v>3869.7799999999997</v>
      </c>
      <c r="N24" s="11"/>
      <c r="O24" s="11"/>
      <c r="P24" s="11"/>
      <c r="Q24" s="11"/>
      <c r="R24" s="11"/>
      <c r="S24" s="11"/>
      <c r="V24" s="13"/>
      <c r="X24" s="13"/>
      <c r="Y24" s="13"/>
      <c r="Z24" s="13">
        <f>[21]Model!$X$21</f>
        <v>7.0000000000000007E-2</v>
      </c>
      <c r="AA24" s="13">
        <f>[21]Model!$X$27</f>
        <v>8.4177669736136052E-2</v>
      </c>
      <c r="AB24" s="9" t="str">
        <f>[21]Model!$X$28</f>
        <v>Fairly valued</v>
      </c>
      <c r="AC24" s="9" t="s">
        <v>27</v>
      </c>
      <c r="AD24" s="9">
        <v>2013</v>
      </c>
      <c r="AF24" s="14">
        <f>[21]Main!$E$3</f>
        <v>44420</v>
      </c>
      <c r="AG24" s="14" t="str">
        <f>[21]Main!$G$3</f>
        <v>?</v>
      </c>
    </row>
    <row r="25" spans="2:33" x14ac:dyDescent="0.3">
      <c r="B25" s="10" t="s">
        <v>67</v>
      </c>
      <c r="C25" s="9" t="s">
        <v>71</v>
      </c>
      <c r="D25" s="15">
        <f>[22]Main!$D$3</f>
        <v>54.44</v>
      </c>
      <c r="E25" s="12">
        <f>[22]Main!$D$5</f>
        <v>5634.54</v>
      </c>
      <c r="F25" s="12">
        <f>[22]Main!$D$8</f>
        <v>2196</v>
      </c>
      <c r="G25" s="12">
        <f>[22]Main!$D$9</f>
        <v>3438.54</v>
      </c>
      <c r="N25" s="11"/>
      <c r="O25" s="11"/>
      <c r="P25" s="11"/>
      <c r="Q25" s="11"/>
      <c r="R25" s="11"/>
      <c r="S25" s="11"/>
      <c r="V25" s="13"/>
      <c r="X25" s="13"/>
      <c r="Y25" s="13"/>
      <c r="Z25" s="13">
        <f>[22]Model!$AO$21</f>
        <v>7.0000000000000007E-2</v>
      </c>
      <c r="AA25" s="13">
        <f>[22]Model!$AO$27</f>
        <v>0.69257009121192681</v>
      </c>
      <c r="AB25" s="9" t="str">
        <f>[22]Model!$AO$28</f>
        <v>Heavily undervalued</v>
      </c>
      <c r="AC25" s="9" t="s">
        <v>73</v>
      </c>
      <c r="AD25" s="9">
        <v>1974</v>
      </c>
      <c r="AF25" s="14">
        <f>[22]Main!$E$3</f>
        <v>44414</v>
      </c>
      <c r="AG25" s="14">
        <f>[22]Main!$G$3</f>
        <v>44428</v>
      </c>
    </row>
    <row r="26" spans="2:33" x14ac:dyDescent="0.3">
      <c r="B26" s="10" t="s">
        <v>51</v>
      </c>
      <c r="C26" s="9" t="s">
        <v>52</v>
      </c>
      <c r="D26" s="16">
        <f>[23]Main!$D$3</f>
        <v>5.1260000000000003</v>
      </c>
      <c r="E26" s="12">
        <f>[23]Main!$D$5</f>
        <v>2572.9956999999999</v>
      </c>
      <c r="F26" s="12">
        <f>[23]Main!$D$8</f>
        <v>-273.59999999999991</v>
      </c>
      <c r="G26" s="12">
        <f>[23]Main!$D$9</f>
        <v>2846.5956999999999</v>
      </c>
      <c r="N26" s="11"/>
      <c r="O26" s="11"/>
      <c r="P26" s="11"/>
      <c r="Q26" s="11"/>
      <c r="R26" s="11"/>
      <c r="S26" s="11"/>
      <c r="V26" s="13"/>
      <c r="X26" s="13"/>
      <c r="Y26" s="13"/>
      <c r="Z26" s="13">
        <f>[23]Model!$Y$26</f>
        <v>7.0000000000000007E-2</v>
      </c>
      <c r="AA26" s="13">
        <f>[23]Model!$Y$32</f>
        <v>0.28587799282885329</v>
      </c>
      <c r="AB26" s="9" t="str">
        <f>[23]Model!$Y$33</f>
        <v>Slightly undervalued</v>
      </c>
      <c r="AC26" s="9" t="s">
        <v>57</v>
      </c>
      <c r="AD26" s="9">
        <v>1982</v>
      </c>
      <c r="AF26" s="14">
        <f>[23]Main!$E$3</f>
        <v>44314</v>
      </c>
      <c r="AG26" s="14">
        <f>[23]Main!$G$3</f>
        <v>44426</v>
      </c>
    </row>
    <row r="27" spans="2:33" x14ac:dyDescent="0.3">
      <c r="B27" s="10" t="s">
        <v>45</v>
      </c>
      <c r="C27" s="9" t="s">
        <v>50</v>
      </c>
      <c r="D27" s="18">
        <f>[24]Main!$D$3</f>
        <v>52.12</v>
      </c>
      <c r="E27" s="12">
        <f>[24]Main!$D$5</f>
        <v>3669.248</v>
      </c>
      <c r="F27" s="12">
        <f>[24]Main!$D$8</f>
        <v>-151</v>
      </c>
      <c r="G27" s="12">
        <f>[24]Main!$D$9</f>
        <v>3820.248</v>
      </c>
      <c r="N27" s="11"/>
      <c r="O27" s="11"/>
      <c r="P27" s="11"/>
      <c r="Q27" s="11"/>
      <c r="R27" s="11"/>
      <c r="S27" s="11"/>
      <c r="V27" s="13"/>
      <c r="X27" s="13"/>
      <c r="Y27" s="13"/>
      <c r="Z27" s="13">
        <f>[24]Model!$AN$19</f>
        <v>7.0000000000000007E-2</v>
      </c>
      <c r="AA27" s="13">
        <f>[24]Model!$AN$25</f>
        <v>0.15709054200584593</v>
      </c>
      <c r="AB27" s="9" t="str">
        <f>[24]Model!$AN$26</f>
        <v>Slightly undervalued</v>
      </c>
      <c r="AC27" s="9" t="s">
        <v>39</v>
      </c>
      <c r="AD27" s="9">
        <v>1924</v>
      </c>
      <c r="AF27" s="14">
        <f>[24]Main!$E$3</f>
        <v>44420</v>
      </c>
      <c r="AG27" s="14">
        <f>[24]Main!$G$3</f>
        <v>44504</v>
      </c>
    </row>
    <row r="28" spans="2:33" x14ac:dyDescent="0.3">
      <c r="B28" s="10" t="s">
        <v>46</v>
      </c>
      <c r="C28" s="9" t="s">
        <v>53</v>
      </c>
      <c r="D28" s="15">
        <f>[25]Main!$D$3</f>
        <v>23.12</v>
      </c>
      <c r="E28" s="12">
        <f>[25]Main!$D$5</f>
        <v>1500.4880000000003</v>
      </c>
      <c r="F28" s="12">
        <f>[25]Main!$D$8</f>
        <v>28.900000000000034</v>
      </c>
      <c r="G28" s="12">
        <f>[25]Main!$D$9</f>
        <v>1471.5880000000002</v>
      </c>
      <c r="N28" s="11"/>
      <c r="O28" s="11"/>
      <c r="P28" s="11"/>
      <c r="Q28" s="11"/>
      <c r="R28" s="11"/>
      <c r="S28" s="11"/>
      <c r="V28" s="13"/>
      <c r="X28" s="13"/>
      <c r="Y28" s="13"/>
      <c r="Z28" s="13">
        <f>[25]Model!$AJ$23</f>
        <v>0.08</v>
      </c>
      <c r="AA28" s="13">
        <f>[25]Model!$AJ$29</f>
        <v>0.34018971080534643</v>
      </c>
      <c r="AB28" s="9" t="str">
        <f>[25]Model!$AJ$30</f>
        <v>Undervalued</v>
      </c>
      <c r="AC28" s="9" t="s">
        <v>39</v>
      </c>
      <c r="AD28" s="9">
        <v>1981</v>
      </c>
      <c r="AF28" s="14">
        <f>[25]Main!$E$3</f>
        <v>44420</v>
      </c>
      <c r="AG28" s="14">
        <f>[25]Main!$G$3</f>
        <v>44440</v>
      </c>
    </row>
    <row r="29" spans="2:33" x14ac:dyDescent="0.3">
      <c r="B29" s="10" t="s">
        <v>95</v>
      </c>
      <c r="C29" s="9" t="s">
        <v>96</v>
      </c>
      <c r="D29" s="15">
        <f>[26]Main!$D$3</f>
        <v>7.34</v>
      </c>
      <c r="E29" s="12">
        <f>[26]Main!$D$5</f>
        <v>1234.588</v>
      </c>
      <c r="F29" s="12">
        <f>[26]Main!$D$8</f>
        <v>232.99999999999997</v>
      </c>
      <c r="G29" s="12">
        <f>[26]Main!$D$9</f>
        <v>1001.588</v>
      </c>
      <c r="H29" s="12">
        <f>[26]Model!W20</f>
        <v>19.400000000001146</v>
      </c>
      <c r="I29" s="12">
        <f>[26]Model!X20</f>
        <v>-74.523820000000285</v>
      </c>
      <c r="J29" s="12">
        <f>[26]Model!Y20</f>
        <v>33.416588799999971</v>
      </c>
      <c r="K29" s="12">
        <f>[26]Model!Z20</f>
        <v>88.594974944000256</v>
      </c>
      <c r="L29" s="12">
        <f>[26]Model!AA20</f>
        <v>144.03526852512073</v>
      </c>
      <c r="M29" s="12">
        <f>[26]Model!AB20</f>
        <v>146.15809187197132</v>
      </c>
      <c r="N29" s="11">
        <f t="shared" ref="N29" si="40">$G29/H29</f>
        <v>51.628247422677362</v>
      </c>
      <c r="O29" s="11">
        <f t="shared" ref="O29" si="41">$G29/I29</f>
        <v>-13.439837088329559</v>
      </c>
      <c r="P29" s="11">
        <f t="shared" ref="P29" si="42">$G29/J29</f>
        <v>29.97277807123152</v>
      </c>
      <c r="Q29" s="11">
        <f t="shared" ref="Q29" si="43">$G29/K29</f>
        <v>11.305246156828769</v>
      </c>
      <c r="R29" s="11">
        <f t="shared" ref="R29" si="44">$G29/L29</f>
        <v>6.9537691029146531</v>
      </c>
      <c r="S29" s="11">
        <f t="shared" ref="S29:S30" si="45">$G29/M29</f>
        <v>6.8527714557012089</v>
      </c>
      <c r="T29" s="12">
        <f>[26]Model!$X$3</f>
        <v>7760.56</v>
      </c>
      <c r="U29" s="20">
        <f t="shared" ref="U29:U31" si="46">G29/T29</f>
        <v>0.12906130485428885</v>
      </c>
      <c r="V29" s="13">
        <f>[26]Model!W$24</f>
        <v>-1.3934167630664795E-3</v>
      </c>
      <c r="W29" s="13">
        <f>[26]Model!X$24</f>
        <v>2.1583339915225208E-2</v>
      </c>
      <c r="X29" s="13">
        <f>[26]Model!$X$27</f>
        <v>0.24860664694300408</v>
      </c>
      <c r="Y29" s="13">
        <f>[26]Model!$X$30</f>
        <v>-9.2084334120218509E-3</v>
      </c>
      <c r="Z29" s="13">
        <f>[26]Model!$AM$26</f>
        <v>0.08</v>
      </c>
      <c r="AA29" s="13">
        <f>[26]Model!$AM$32</f>
        <v>0.39196885995009012</v>
      </c>
      <c r="AB29" s="9" t="str">
        <f>[26]Model!$AM$33</f>
        <v>Undervalued</v>
      </c>
      <c r="AC29" s="9" t="s">
        <v>27</v>
      </c>
      <c r="AD29" s="9">
        <v>2015</v>
      </c>
      <c r="AF29" s="14">
        <f>[26]Main!$F$3</f>
        <v>45521</v>
      </c>
      <c r="AG29" s="14">
        <f>[26]Main!$H$3</f>
        <v>45594</v>
      </c>
    </row>
    <row r="30" spans="2:33" x14ac:dyDescent="0.3">
      <c r="B30" s="10" t="s">
        <v>22</v>
      </c>
      <c r="C30" s="9" t="s">
        <v>94</v>
      </c>
      <c r="D30" s="16">
        <f>[27]Main!$D$3</f>
        <v>2.9350000000000001</v>
      </c>
      <c r="E30" s="12">
        <f>[27]Main!$D$5</f>
        <v>349.85200000000003</v>
      </c>
      <c r="F30" s="12">
        <f>[27]Main!$D$8</f>
        <v>-229.5</v>
      </c>
      <c r="G30" s="12">
        <f>[27]Main!$D$9</f>
        <v>579.35200000000009</v>
      </c>
      <c r="H30" s="12">
        <f>[27]Model!Z$13</f>
        <v>-223.1</v>
      </c>
      <c r="I30" s="12">
        <f>[27]Model!AA$13</f>
        <v>-338.6999999999997</v>
      </c>
      <c r="J30" s="12">
        <f>[27]Model!AB$13</f>
        <v>-208.74839999999938</v>
      </c>
      <c r="K30" s="12">
        <f>[27]Model!AC$13</f>
        <v>-90.524559999999681</v>
      </c>
      <c r="L30" s="12">
        <f>[27]Model!AD$13</f>
        <v>-6.9364455999997521</v>
      </c>
      <c r="M30" s="12">
        <f>[27]Model!AE$13</f>
        <v>64.161946744000218</v>
      </c>
      <c r="N30" s="11">
        <f t="shared" ref="N30" si="47">$G30/H30</f>
        <v>-2.5968265351860156</v>
      </c>
      <c r="O30" s="11"/>
      <c r="P30" s="11"/>
      <c r="Q30" s="11"/>
      <c r="R30" s="11"/>
      <c r="S30" s="11">
        <f t="shared" si="45"/>
        <v>9.0295265246791363</v>
      </c>
      <c r="T30" s="12">
        <f>[27]Model!$Y$3</f>
        <v>3936.5</v>
      </c>
      <c r="U30" s="20">
        <f t="shared" si="46"/>
        <v>0.14717439349676109</v>
      </c>
      <c r="V30" s="13">
        <f>[27]Model!Z$17</f>
        <v>-9.8310682077988099E-2</v>
      </c>
      <c r="W30" s="13">
        <f>[27]Model!AA$17</f>
        <v>-0.18134948584307642</v>
      </c>
      <c r="X30" s="13"/>
      <c r="Y30" s="13"/>
      <c r="Z30" s="13">
        <f>[27]Model!$AO$20</f>
        <v>0.1</v>
      </c>
      <c r="AA30" s="13">
        <f>[27]Model!$AO$26</f>
        <v>-0.56040633715919363</v>
      </c>
      <c r="AB30" s="9" t="str">
        <f>[27]Model!$AO$27</f>
        <v>Heavily overvalued</v>
      </c>
      <c r="AC30" s="9" t="s">
        <v>27</v>
      </c>
      <c r="AD30" s="9">
        <v>2000</v>
      </c>
      <c r="AF30" s="14">
        <f>[27]Main!$E$3</f>
        <v>45773</v>
      </c>
      <c r="AG30" s="14">
        <f>[27]Main!$G$3</f>
        <v>45945</v>
      </c>
    </row>
    <row r="31" spans="2:33" x14ac:dyDescent="0.3">
      <c r="B31" s="10" t="s">
        <v>23</v>
      </c>
      <c r="C31" s="9" t="s">
        <v>24</v>
      </c>
      <c r="D31" s="16">
        <f>[28]Main!$D$3</f>
        <v>0.2828</v>
      </c>
      <c r="E31" s="12">
        <f>[28]Main!$D$5</f>
        <v>339.21859999999998</v>
      </c>
      <c r="F31" s="12">
        <f>[28]Main!$D$8</f>
        <v>-65.399999999999977</v>
      </c>
      <c r="G31" s="12">
        <f>[28]Main!$D$9</f>
        <v>404.61859999999996</v>
      </c>
      <c r="H31" s="12">
        <f>[28]Model!AA15</f>
        <v>-137.79999999999998</v>
      </c>
      <c r="I31" s="12">
        <f>[28]Model!AB15</f>
        <v>8.2771600000000376</v>
      </c>
      <c r="J31" s="12">
        <f>[28]Model!AC15</f>
        <v>26.462785039999989</v>
      </c>
      <c r="K31" s="12">
        <f>[28]Model!AD15</f>
        <v>36.473370337599967</v>
      </c>
      <c r="L31" s="12">
        <f>[28]Model!AE15</f>
        <v>38.209353040976055</v>
      </c>
      <c r="M31" s="12">
        <f>[28]Model!AF15</f>
        <v>39.825570671385748</v>
      </c>
      <c r="N31" s="11"/>
      <c r="O31" s="11">
        <f t="shared" ref="O31" si="48">$G31/I31</f>
        <v>48.8837475655899</v>
      </c>
      <c r="P31" s="11">
        <f t="shared" ref="P31" si="49">$G31/J31</f>
        <v>15.290098883711453</v>
      </c>
      <c r="Q31" s="11">
        <f t="shared" ref="Q31" si="50">$G31/K31</f>
        <v>11.093534714637638</v>
      </c>
      <c r="R31" s="11">
        <f t="shared" ref="R31" si="51">$G31/L31</f>
        <v>10.589517167853728</v>
      </c>
      <c r="S31" s="11">
        <f t="shared" ref="S31" si="52">$G31/M31</f>
        <v>10.159769042323207</v>
      </c>
      <c r="T31" s="12">
        <f>[28]Model!$AB$3</f>
        <v>1490.22</v>
      </c>
      <c r="U31" s="20">
        <f t="shared" si="46"/>
        <v>0.27151601776918843</v>
      </c>
      <c r="V31" s="13">
        <f>[28]Model!AA$19</f>
        <v>-0.1739695821790016</v>
      </c>
      <c r="W31" s="13">
        <f>[28]Model!AB$19</f>
        <v>2.0000000000000018E-2</v>
      </c>
      <c r="X31" s="13"/>
      <c r="Y31" s="13"/>
      <c r="Z31" s="13">
        <f>[28]Model!$AO$22</f>
        <v>0.08</v>
      </c>
      <c r="AA31" s="13">
        <f>[28]Model!$AO$28</f>
        <v>-0.59718302360272257</v>
      </c>
      <c r="AB31" s="9" t="str">
        <f>[28]Model!$AO$29</f>
        <v>Heavily overvalued</v>
      </c>
      <c r="AC31" s="9" t="s">
        <v>27</v>
      </c>
      <c r="AD31" s="9">
        <v>2006</v>
      </c>
      <c r="AF31" s="14">
        <f>[28]Main!$E$3</f>
        <v>45518</v>
      </c>
      <c r="AG31" s="14">
        <f>[28]Main!$G$3</f>
        <v>45560</v>
      </c>
    </row>
    <row r="32" spans="2:33" x14ac:dyDescent="0.3">
      <c r="B32" s="10" t="s">
        <v>60</v>
      </c>
      <c r="C32" s="9" t="s">
        <v>66</v>
      </c>
      <c r="D32" s="16">
        <f>[29]Main!$D$3</f>
        <v>3.8</v>
      </c>
      <c r="E32" s="12">
        <f>[29]Main!$D$5</f>
        <v>311.97999999999996</v>
      </c>
      <c r="F32" s="12">
        <f>[29]Main!$D$8</f>
        <v>27.000000000000004</v>
      </c>
      <c r="G32" s="12">
        <f>[29]Main!$D$9</f>
        <v>284.97999999999996</v>
      </c>
      <c r="N32" s="11"/>
      <c r="O32" s="11"/>
      <c r="P32" s="11"/>
      <c r="Q32" s="11"/>
      <c r="R32" s="11"/>
      <c r="S32" s="11"/>
      <c r="V32" s="13"/>
      <c r="W32" s="13"/>
      <c r="X32" s="13"/>
      <c r="Y32" s="13"/>
      <c r="Z32" s="13">
        <f>[29]Model!$AD$20</f>
        <v>0.09</v>
      </c>
      <c r="AA32" s="13">
        <f>[29]Model!$AD$26</f>
        <v>-0.41684611553599948</v>
      </c>
      <c r="AB32" s="9" t="str">
        <f>[29]Model!$AD$27</f>
        <v>Heavily overvalued</v>
      </c>
      <c r="AC32" s="9" t="s">
        <v>39</v>
      </c>
      <c r="AD32" s="9">
        <v>2003</v>
      </c>
      <c r="AF32" s="14">
        <f>[29]Main!$E$3</f>
        <v>44420</v>
      </c>
      <c r="AG32" s="14">
        <f>[29]Main!$G$3</f>
        <v>44468</v>
      </c>
    </row>
    <row r="33" spans="2:33" x14ac:dyDescent="0.3">
      <c r="B33" s="10" t="s">
        <v>69</v>
      </c>
      <c r="C33" s="9" t="s">
        <v>70</v>
      </c>
      <c r="D33" s="16">
        <f>[30]Main!$D$3</f>
        <v>2.65</v>
      </c>
      <c r="E33" s="12">
        <f>[30]Main!$D$5</f>
        <v>294.68</v>
      </c>
      <c r="F33" s="12">
        <f>[30]Main!$D$8</f>
        <v>4.0999999999999996</v>
      </c>
      <c r="G33" s="12">
        <f>[30]Main!$D$9</f>
        <v>290.58</v>
      </c>
      <c r="N33" s="11"/>
      <c r="O33" s="11"/>
      <c r="P33" s="11"/>
      <c r="Q33" s="11"/>
      <c r="R33" s="11"/>
      <c r="S33" s="11"/>
      <c r="V33" s="13"/>
      <c r="W33" s="13"/>
      <c r="X33" s="13"/>
      <c r="Y33" s="13"/>
      <c r="Z33" s="13">
        <f>[30]Model!$AF$18</f>
        <v>0.1</v>
      </c>
      <c r="AA33" s="13">
        <f>[30]Model!$AF$24</f>
        <v>-0.38082184550693621</v>
      </c>
      <c r="AB33" s="9" t="str">
        <f>[30]Model!$AF$25</f>
        <v>Overvalued</v>
      </c>
      <c r="AC33" s="9" t="s">
        <v>63</v>
      </c>
      <c r="AD33" s="9">
        <v>1989</v>
      </c>
      <c r="AF33" s="14">
        <f>[30]Main!$E$3</f>
        <v>44420</v>
      </c>
      <c r="AG33" s="14" t="str">
        <f>[30]Main!$G$3</f>
        <v>January?</v>
      </c>
    </row>
    <row r="34" spans="2:33" x14ac:dyDescent="0.3">
      <c r="B34" s="10" t="s">
        <v>81</v>
      </c>
      <c r="C34" s="9" t="s">
        <v>82</v>
      </c>
      <c r="D34" s="16">
        <f>[31]Main!$D$3</f>
        <v>3.23</v>
      </c>
      <c r="E34" s="12">
        <f>[31]Main!$D$5</f>
        <v>192.185</v>
      </c>
      <c r="F34" s="12">
        <f>[31]Main!$D$8</f>
        <v>7.2</v>
      </c>
      <c r="G34" s="12">
        <f>[31]Main!$D$9</f>
        <v>184.98500000000001</v>
      </c>
      <c r="N34" s="11"/>
      <c r="O34" s="11"/>
      <c r="P34" s="11"/>
      <c r="Q34" s="11"/>
      <c r="R34" s="11"/>
      <c r="S34" s="11"/>
      <c r="V34" s="13"/>
      <c r="W34" s="13"/>
      <c r="X34" s="13"/>
      <c r="Y34" s="13"/>
      <c r="Z34" s="13">
        <f>[31]Model!$AJ$23</f>
        <v>0.1</v>
      </c>
      <c r="AA34" s="13">
        <f>[31]Model!$AJ$29</f>
        <v>-0.33191218096567465</v>
      </c>
      <c r="AB34" s="9" t="str">
        <f>[31]Model!$AJ$30</f>
        <v>Overvalued</v>
      </c>
      <c r="AC34" s="9" t="s">
        <v>39</v>
      </c>
      <c r="AD34" s="9">
        <v>1971</v>
      </c>
      <c r="AF34" s="14">
        <f>[31]Main!$E$3</f>
        <v>44420</v>
      </c>
      <c r="AG34" s="14" t="str">
        <f>[31]Main!$G$3</f>
        <v>November?</v>
      </c>
    </row>
    <row r="35" spans="2:33" x14ac:dyDescent="0.3">
      <c r="B35" t="s">
        <v>49</v>
      </c>
      <c r="C35" s="9" t="s">
        <v>85</v>
      </c>
    </row>
    <row r="36" spans="2:33" x14ac:dyDescent="0.3">
      <c r="B36" t="s">
        <v>93</v>
      </c>
    </row>
    <row r="37" spans="2:33" x14ac:dyDescent="0.3">
      <c r="B37" s="10" t="s">
        <v>101</v>
      </c>
    </row>
    <row r="38" spans="2:33" x14ac:dyDescent="0.3">
      <c r="B38" t="s">
        <v>102</v>
      </c>
    </row>
  </sheetData>
  <phoneticPr fontId="5" type="noConversion"/>
  <hyperlinks>
    <hyperlink ref="B18" r:id="rId1" xr:uid="{DA7D258B-E0C6-4D4A-85D1-1AF4F3DC563A}"/>
    <hyperlink ref="B30" r:id="rId2" xr:uid="{673C81BB-FCDE-4C96-873A-D7236BE9D665}"/>
    <hyperlink ref="B31" r:id="rId3" xr:uid="{424FBB75-410B-4728-8452-A1B9C955D2BD}"/>
    <hyperlink ref="B12" r:id="rId4" xr:uid="{3236F780-4698-44BA-938E-A4FA2F0FAFF0}"/>
    <hyperlink ref="B19" r:id="rId5" xr:uid="{7F89A1EE-5A68-462F-BF57-E95106CD0EA3}"/>
    <hyperlink ref="B6" r:id="rId6" xr:uid="{1690E69C-C546-426E-AF5D-1B9B01B836EE}"/>
    <hyperlink ref="B9" r:id="rId7" xr:uid="{2BB26A59-2014-4139-AB4A-E3DE7DCFFED0}"/>
    <hyperlink ref="B17" r:id="rId8" xr:uid="{69B64076-88BE-4E21-BE2B-734DE3EF3A7F}"/>
    <hyperlink ref="B22" r:id="rId9" xr:uid="{DFCC2DE3-C064-4C1F-B3B1-E4811C3D6966}"/>
    <hyperlink ref="B27" r:id="rId10" xr:uid="{E4FA7751-91BD-4669-A831-94A1FA859FFF}"/>
    <hyperlink ref="B26" r:id="rId11" xr:uid="{465BF84E-5A0B-4AD7-A9F2-6F4B30AF32D5}"/>
    <hyperlink ref="B28" r:id="rId12" xr:uid="{438796BA-9488-4200-B318-0F44A38336CB}"/>
    <hyperlink ref="B5" r:id="rId13" xr:uid="{8DB91714-347E-4AB2-A647-0233C1ED7E68}"/>
    <hyperlink ref="B10" r:id="rId14" xr:uid="{74B47F73-039F-4D37-8CDD-73E7C9AE7E6C}"/>
    <hyperlink ref="B8" r:id="rId15" xr:uid="{2BC4FD8F-E2A2-4FDE-AB13-34654C2D060C}"/>
    <hyperlink ref="B21" r:id="rId16" xr:uid="{26A35932-6F2B-45D3-8D83-6233C5047263}"/>
    <hyperlink ref="B32" r:id="rId17" xr:uid="{45C94EBA-7C08-4C0A-8B48-132D4A32A248}"/>
    <hyperlink ref="B15" r:id="rId18" xr:uid="{C48AF09C-4EA3-4F11-84F2-A4A252919D7F}"/>
    <hyperlink ref="B14" r:id="rId19" xr:uid="{AB3C4645-63F0-4ED1-9CB8-0AEDF0C73CF2}"/>
    <hyperlink ref="B20" r:id="rId20" xr:uid="{8AA59C57-DE47-4555-A7CF-FD31AFD34E52}"/>
    <hyperlink ref="B33" r:id="rId21" xr:uid="{EE8F1074-CABF-4F54-B253-67E433D619D4}"/>
    <hyperlink ref="B25" r:id="rId22" xr:uid="{7419B50C-9155-4143-90C6-F2721D0E0A2E}"/>
    <hyperlink ref="B16" r:id="rId23" xr:uid="{4DD3E012-D34F-4543-BDF2-3E421213508C}"/>
    <hyperlink ref="B24" r:id="rId24" xr:uid="{52C7F6C9-F662-477A-AB17-B81252D4A9F0}"/>
    <hyperlink ref="B11" r:id="rId25" xr:uid="{A6BF5463-BDAE-4F8D-8775-29FDB8DFC147}"/>
    <hyperlink ref="B7" r:id="rId26" xr:uid="{426D7029-8B72-4918-B3F9-08D3C26E6B19}"/>
    <hyperlink ref="B34" r:id="rId27" xr:uid="{DD3B037E-89A7-4564-8534-2BDFEF663BE3}"/>
    <hyperlink ref="B4" r:id="rId28" xr:uid="{3A2055A8-B60B-495C-B0BC-6C60F8CAF0A8}"/>
    <hyperlink ref="B29" r:id="rId29" xr:uid="{56E32015-E2F3-4908-A463-956A31537705}"/>
    <hyperlink ref="B13" r:id="rId30" xr:uid="{6B903CDD-6E99-4E08-A843-00EAD6984B23}"/>
    <hyperlink ref="B23" r:id="rId31" xr:uid="{F9489EBA-9473-4E2F-BD94-493B88BC0B11}"/>
    <hyperlink ref="B37" r:id="rId32" xr:uid="{35840C3E-F377-4738-9B41-A05ADACAB37F}"/>
  </hyperlinks>
  <pageMargins left="0.7" right="0.7" top="0.75" bottom="0.75" header="0.3" footer="0.3"/>
  <pageSetup paperSize="9" orientation="portrait" horizontalDpi="4294967293" verticalDpi="0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Mniszek</cp:lastModifiedBy>
  <cp:lastPrinted>2020-12-05T21:15:17Z</cp:lastPrinted>
  <dcterms:created xsi:type="dcterms:W3CDTF">2020-12-05T13:18:08Z</dcterms:created>
  <dcterms:modified xsi:type="dcterms:W3CDTF">2025-05-03T18:48:33Z</dcterms:modified>
</cp:coreProperties>
</file>