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D1453FAC-8B23-4CDA-8A29-E60336EBFCEF}" xr6:coauthVersionLast="47" xr6:coauthVersionMax="47" xr10:uidLastSave="{00000000-0000-0000-0000-000000000000}"/>
  <bookViews>
    <workbookView xWindow="-108" yWindow="-108" windowWidth="23256" windowHeight="12576" xr2:uid="{7403A8AC-99CC-4876-8521-54E7E6C7B5A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3" i="2" l="1"/>
  <c r="AK13" i="2"/>
  <c r="AJ13" i="2"/>
  <c r="AI13" i="2"/>
  <c r="AH13" i="2"/>
  <c r="AG13" i="2"/>
  <c r="AF13" i="2"/>
  <c r="AE13" i="2"/>
  <c r="AD13" i="2"/>
  <c r="AC13" i="2"/>
  <c r="AL16" i="2"/>
  <c r="AK16" i="2"/>
  <c r="AJ16" i="2"/>
  <c r="AI16" i="2"/>
  <c r="AH16" i="2"/>
  <c r="AG16" i="2"/>
  <c r="AF16" i="2"/>
  <c r="AE16" i="2"/>
  <c r="AD16" i="2"/>
  <c r="AC16" i="2"/>
  <c r="V16" i="2"/>
  <c r="U16" i="2"/>
  <c r="T16" i="2"/>
  <c r="AE3" i="2"/>
  <c r="AD3" i="2"/>
  <c r="AC3" i="2"/>
  <c r="AG4" i="2"/>
  <c r="AH4" i="2" s="1"/>
  <c r="AI4" i="2" s="1"/>
  <c r="AJ4" i="2" s="1"/>
  <c r="AK4" i="2" s="1"/>
  <c r="AL4" i="2" s="1"/>
  <c r="AF4" i="2"/>
  <c r="AE4" i="2"/>
  <c r="AD4" i="2"/>
  <c r="AC4" i="2"/>
  <c r="V11" i="2"/>
  <c r="U11" i="2"/>
  <c r="T11" i="2"/>
  <c r="V3" i="2"/>
  <c r="V33" i="2" s="1"/>
  <c r="U3" i="2"/>
  <c r="U33" i="2" s="1"/>
  <c r="V4" i="2"/>
  <c r="V34" i="2" s="1"/>
  <c r="U4" i="2"/>
  <c r="T4" i="2"/>
  <c r="T34" i="2" s="1"/>
  <c r="V35" i="2"/>
  <c r="U35" i="2"/>
  <c r="T35" i="2"/>
  <c r="U34" i="2"/>
  <c r="T33" i="2"/>
  <c r="T3" i="2"/>
  <c r="S35" i="2"/>
  <c r="S34" i="2"/>
  <c r="S33" i="2"/>
  <c r="D6" i="1"/>
  <c r="AL35" i="2"/>
  <c r="AK35" i="2"/>
  <c r="AJ35" i="2"/>
  <c r="AI35" i="2"/>
  <c r="AH35" i="2"/>
  <c r="AG35" i="2"/>
  <c r="AF35" i="2"/>
  <c r="AE35" i="2"/>
  <c r="AD35" i="2"/>
  <c r="S6" i="2"/>
  <c r="V5" i="2"/>
  <c r="U5" i="2"/>
  <c r="T5" i="2"/>
  <c r="H6" i="2"/>
  <c r="G6" i="2"/>
  <c r="F6" i="2"/>
  <c r="Q6" i="2"/>
  <c r="P6" i="2"/>
  <c r="O6" i="2"/>
  <c r="N6" i="2"/>
  <c r="M6" i="2"/>
  <c r="L6" i="2"/>
  <c r="K6" i="2"/>
  <c r="J6" i="2"/>
  <c r="I6" i="2"/>
  <c r="R6" i="2"/>
  <c r="X5" i="2"/>
  <c r="X4" i="2"/>
  <c r="X3" i="2"/>
  <c r="Y5" i="2"/>
  <c r="Y35" i="2" s="1"/>
  <c r="Y4" i="2"/>
  <c r="Y34" i="2" s="1"/>
  <c r="Y3" i="2"/>
  <c r="Z5" i="2"/>
  <c r="Z4" i="2"/>
  <c r="Z3" i="2"/>
  <c r="Z33" i="2" s="1"/>
  <c r="AA5" i="2"/>
  <c r="AA35" i="2" s="1"/>
  <c r="AA4" i="2"/>
  <c r="AA34" i="2" s="1"/>
  <c r="AA3" i="2"/>
  <c r="AA33" i="2" s="1"/>
  <c r="R35" i="2"/>
  <c r="Q35" i="2"/>
  <c r="P35" i="2"/>
  <c r="O35" i="2"/>
  <c r="N35" i="2"/>
  <c r="M35" i="2"/>
  <c r="L35" i="2"/>
  <c r="K35" i="2"/>
  <c r="J35" i="2"/>
  <c r="I35" i="2"/>
  <c r="H35" i="2"/>
  <c r="G35" i="2"/>
  <c r="R34" i="2"/>
  <c r="Q34" i="2"/>
  <c r="P34" i="2"/>
  <c r="O34" i="2"/>
  <c r="N34" i="2"/>
  <c r="M34" i="2"/>
  <c r="L34" i="2"/>
  <c r="K34" i="2"/>
  <c r="J34" i="2"/>
  <c r="I34" i="2"/>
  <c r="H34" i="2"/>
  <c r="G34" i="2"/>
  <c r="R33" i="2"/>
  <c r="Q33" i="2"/>
  <c r="P33" i="2"/>
  <c r="O33" i="2"/>
  <c r="N33" i="2"/>
  <c r="M33" i="2"/>
  <c r="L33" i="2"/>
  <c r="K33" i="2"/>
  <c r="J33" i="2"/>
  <c r="I33" i="2"/>
  <c r="H33" i="2"/>
  <c r="G33" i="2"/>
  <c r="AO74" i="2"/>
  <c r="AC63" i="2"/>
  <c r="AD63" i="2" s="1"/>
  <c r="AE63" i="2" s="1"/>
  <c r="Z65" i="2"/>
  <c r="Z64" i="2"/>
  <c r="Z63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AA65" i="2"/>
  <c r="AB65" i="2" s="1"/>
  <c r="AC65" i="2" s="1"/>
  <c r="AD65" i="2" s="1"/>
  <c r="AE65" i="2" s="1"/>
  <c r="AF65" i="2" s="1"/>
  <c r="AG65" i="2" s="1"/>
  <c r="AH65" i="2" s="1"/>
  <c r="AI65" i="2" s="1"/>
  <c r="AJ65" i="2" s="1"/>
  <c r="AK65" i="2" s="1"/>
  <c r="AL65" i="2" s="1"/>
  <c r="AA64" i="2"/>
  <c r="AA63" i="2"/>
  <c r="AA61" i="2"/>
  <c r="AA60" i="2"/>
  <c r="AA59" i="2"/>
  <c r="AA58" i="2"/>
  <c r="AA57" i="2"/>
  <c r="AA56" i="2"/>
  <c r="AA55" i="2"/>
  <c r="AA54" i="2"/>
  <c r="AB54" i="2" s="1"/>
  <c r="AA53" i="2"/>
  <c r="AB53" i="2" s="1"/>
  <c r="AC53" i="2" s="1"/>
  <c r="AD53" i="2" s="1"/>
  <c r="AE53" i="2" s="1"/>
  <c r="AA52" i="2"/>
  <c r="AA51" i="2"/>
  <c r="AA50" i="2"/>
  <c r="AA49" i="2"/>
  <c r="K66" i="2"/>
  <c r="O66" i="2"/>
  <c r="L66" i="2"/>
  <c r="P66" i="2"/>
  <c r="M66" i="2"/>
  <c r="N66" i="2"/>
  <c r="Q66" i="2"/>
  <c r="R66" i="2"/>
  <c r="N23" i="2"/>
  <c r="AB4" i="2" l="1"/>
  <c r="Z34" i="2"/>
  <c r="T6" i="2"/>
  <c r="Z35" i="2"/>
  <c r="U6" i="2"/>
  <c r="Y33" i="2"/>
  <c r="V6" i="2"/>
  <c r="AB5" i="2"/>
  <c r="AC35" i="2" s="1"/>
  <c r="AB3" i="2"/>
  <c r="AB33" i="2" s="1"/>
  <c r="AB35" i="2"/>
  <c r="AC54" i="2"/>
  <c r="AD54" i="2" s="1"/>
  <c r="AE54" i="2" s="1"/>
  <c r="AF54" i="2" s="1"/>
  <c r="AG54" i="2" s="1"/>
  <c r="AH54" i="2" s="1"/>
  <c r="AI54" i="2" s="1"/>
  <c r="AJ54" i="2" s="1"/>
  <c r="AK54" i="2" s="1"/>
  <c r="AL54" i="2" s="1"/>
  <c r="AA66" i="2"/>
  <c r="Z66" i="2"/>
  <c r="AB66" i="2"/>
  <c r="AD66" i="2"/>
  <c r="AC66" i="2"/>
  <c r="AF63" i="2"/>
  <c r="AF53" i="2"/>
  <c r="U14" i="2"/>
  <c r="T14" i="2"/>
  <c r="AB34" i="2" l="1"/>
  <c r="AC34" i="2"/>
  <c r="AC6" i="2"/>
  <c r="AD34" i="2"/>
  <c r="AE66" i="2"/>
  <c r="AG63" i="2"/>
  <c r="AF66" i="2"/>
  <c r="AG53" i="2"/>
  <c r="AC33" i="2" l="1"/>
  <c r="AD33" i="2"/>
  <c r="AE34" i="2"/>
  <c r="AH63" i="2"/>
  <c r="AG66" i="2"/>
  <c r="AH53" i="2"/>
  <c r="AD6" i="2" l="1"/>
  <c r="AF3" i="2"/>
  <c r="AF34" i="2"/>
  <c r="AI63" i="2"/>
  <c r="AH66" i="2"/>
  <c r="AI53" i="2"/>
  <c r="AE33" i="2" l="1"/>
  <c r="AE6" i="2"/>
  <c r="AG34" i="2"/>
  <c r="AF6" i="2"/>
  <c r="AF33" i="2"/>
  <c r="AG3" i="2"/>
  <c r="AJ63" i="2"/>
  <c r="AI66" i="2"/>
  <c r="AJ53" i="2"/>
  <c r="AH34" i="2" l="1"/>
  <c r="AH3" i="2"/>
  <c r="AG6" i="2"/>
  <c r="AG33" i="2"/>
  <c r="AK63" i="2"/>
  <c r="AJ66" i="2"/>
  <c r="AK53" i="2"/>
  <c r="AI34" i="2" l="1"/>
  <c r="AH6" i="2"/>
  <c r="AI3" i="2"/>
  <c r="AH33" i="2"/>
  <c r="AL63" i="2"/>
  <c r="AL66" i="2" s="1"/>
  <c r="AK66" i="2"/>
  <c r="AL53" i="2"/>
  <c r="AJ34" i="2" l="1"/>
  <c r="AJ3" i="2"/>
  <c r="AI33" i="2"/>
  <c r="AI6" i="2"/>
  <c r="V26" i="2"/>
  <c r="U26" i="2"/>
  <c r="T26" i="2"/>
  <c r="S26" i="2"/>
  <c r="AB25" i="2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B24" i="2"/>
  <c r="AB23" i="2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B20" i="2"/>
  <c r="AB18" i="2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B17" i="2"/>
  <c r="AB7" i="2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A11" i="2"/>
  <c r="AA10" i="2"/>
  <c r="AA9" i="2"/>
  <c r="V14" i="2"/>
  <c r="AL34" i="2" l="1"/>
  <c r="AK34" i="2"/>
  <c r="AK3" i="2"/>
  <c r="AJ33" i="2"/>
  <c r="AJ6" i="2"/>
  <c r="AB14" i="2"/>
  <c r="AC14" i="2" s="1"/>
  <c r="AD14" i="2" s="1"/>
  <c r="AE14" i="2" s="1"/>
  <c r="AF14" i="2" s="1"/>
  <c r="AG14" i="2" s="1"/>
  <c r="U8" i="2"/>
  <c r="U21" i="2" s="1"/>
  <c r="V41" i="2"/>
  <c r="U41" i="2"/>
  <c r="T41" i="2"/>
  <c r="S41" i="2"/>
  <c r="V8" i="2"/>
  <c r="V21" i="2" s="1"/>
  <c r="T8" i="2"/>
  <c r="Q12" i="2"/>
  <c r="R23" i="2"/>
  <c r="R26" i="2" s="1"/>
  <c r="R20" i="2"/>
  <c r="AA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R12" i="2"/>
  <c r="AO46" i="2"/>
  <c r="AL26" i="2"/>
  <c r="AK26" i="2"/>
  <c r="AJ26" i="2"/>
  <c r="AI26" i="2"/>
  <c r="AH26" i="2"/>
  <c r="AG26" i="2"/>
  <c r="AF26" i="2"/>
  <c r="AE26" i="2"/>
  <c r="AD26" i="2"/>
  <c r="AC26" i="2"/>
  <c r="AB26" i="2"/>
  <c r="Q26" i="2"/>
  <c r="Q41" i="2"/>
  <c r="R8" i="2"/>
  <c r="R37" i="2" s="1"/>
  <c r="Q8" i="2"/>
  <c r="Q37" i="2" s="1"/>
  <c r="Y41" i="2"/>
  <c r="P41" i="2"/>
  <c r="O41" i="2"/>
  <c r="N41" i="2"/>
  <c r="M41" i="2"/>
  <c r="AA25" i="2"/>
  <c r="AA24" i="2"/>
  <c r="AA18" i="2"/>
  <c r="AA17" i="2"/>
  <c r="AA7" i="2"/>
  <c r="Z28" i="2"/>
  <c r="Z25" i="2"/>
  <c r="Z24" i="2"/>
  <c r="Z18" i="2"/>
  <c r="Z17" i="2"/>
  <c r="Z16" i="2"/>
  <c r="Z14" i="2"/>
  <c r="Z41" i="2" s="1"/>
  <c r="Z11" i="2"/>
  <c r="Z10" i="2"/>
  <c r="Z9" i="2"/>
  <c r="Z7" i="2"/>
  <c r="Z6" i="2"/>
  <c r="Y23" i="2"/>
  <c r="Y26" i="2" s="1"/>
  <c r="Y20" i="2"/>
  <c r="Y21" i="2" s="1"/>
  <c r="Y12" i="2"/>
  <c r="Y8" i="2"/>
  <c r="X23" i="2"/>
  <c r="X26" i="2" s="1"/>
  <c r="X20" i="2"/>
  <c r="X21" i="2" s="1"/>
  <c r="X12" i="2"/>
  <c r="X8" i="2"/>
  <c r="I26" i="2"/>
  <c r="I21" i="2"/>
  <c r="I12" i="2"/>
  <c r="I8" i="2"/>
  <c r="I42" i="2" s="1"/>
  <c r="M20" i="2"/>
  <c r="M21" i="2" s="1"/>
  <c r="M26" i="2"/>
  <c r="M12" i="2"/>
  <c r="M8" i="2"/>
  <c r="M38" i="2" s="1"/>
  <c r="J23" i="2"/>
  <c r="J26" i="2" s="1"/>
  <c r="J20" i="2"/>
  <c r="J21" i="2" s="1"/>
  <c r="J12" i="2"/>
  <c r="J8" i="2"/>
  <c r="J42" i="2" s="1"/>
  <c r="N26" i="2"/>
  <c r="N20" i="2"/>
  <c r="N21" i="2" s="1"/>
  <c r="N12" i="2"/>
  <c r="N8" i="2"/>
  <c r="N39" i="2" s="1"/>
  <c r="K26" i="2"/>
  <c r="K21" i="2"/>
  <c r="K12" i="2"/>
  <c r="K8" i="2"/>
  <c r="K42" i="2" s="1"/>
  <c r="O12" i="2"/>
  <c r="O26" i="2"/>
  <c r="O21" i="2"/>
  <c r="O8" i="2"/>
  <c r="O39" i="2" s="1"/>
  <c r="L26" i="2"/>
  <c r="L21" i="2"/>
  <c r="L12" i="2"/>
  <c r="L8" i="2"/>
  <c r="L42" i="2" s="1"/>
  <c r="P26" i="2"/>
  <c r="P21" i="2"/>
  <c r="P12" i="2"/>
  <c r="P8" i="2"/>
  <c r="P42" i="2" s="1"/>
  <c r="D8" i="1"/>
  <c r="AO43" i="2" s="1"/>
  <c r="AO71" i="2" s="1"/>
  <c r="D5" i="1"/>
  <c r="F3" i="1"/>
  <c r="AL3" i="2" l="1"/>
  <c r="AK6" i="2"/>
  <c r="AK33" i="2"/>
  <c r="D9" i="1"/>
  <c r="O38" i="2"/>
  <c r="I39" i="2"/>
  <c r="T10" i="2"/>
  <c r="T38" i="2" s="1"/>
  <c r="R38" i="2"/>
  <c r="P38" i="2"/>
  <c r="L37" i="2"/>
  <c r="U10" i="2"/>
  <c r="U38" i="2" s="1"/>
  <c r="M37" i="2"/>
  <c r="U39" i="2"/>
  <c r="V39" i="2"/>
  <c r="Q39" i="2"/>
  <c r="J39" i="2"/>
  <c r="K37" i="2"/>
  <c r="R39" i="2"/>
  <c r="P39" i="2"/>
  <c r="N38" i="2"/>
  <c r="S8" i="2"/>
  <c r="AB6" i="2"/>
  <c r="N37" i="2"/>
  <c r="K39" i="2"/>
  <c r="I38" i="2"/>
  <c r="Q38" i="2"/>
  <c r="V10" i="2"/>
  <c r="V38" i="2" s="1"/>
  <c r="Y42" i="2"/>
  <c r="Y38" i="2"/>
  <c r="Y39" i="2"/>
  <c r="Y37" i="2"/>
  <c r="O37" i="2"/>
  <c r="L39" i="2"/>
  <c r="J38" i="2"/>
  <c r="P37" i="2"/>
  <c r="M39" i="2"/>
  <c r="K38" i="2"/>
  <c r="T9" i="2"/>
  <c r="T37" i="2" s="1"/>
  <c r="X42" i="2"/>
  <c r="X37" i="2"/>
  <c r="X39" i="2"/>
  <c r="X38" i="2"/>
  <c r="I37" i="2"/>
  <c r="L38" i="2"/>
  <c r="U9" i="2"/>
  <c r="U37" i="2" s="1"/>
  <c r="J37" i="2"/>
  <c r="V9" i="2"/>
  <c r="T21" i="2"/>
  <c r="R13" i="2"/>
  <c r="R40" i="2" s="1"/>
  <c r="T36" i="2"/>
  <c r="T42" i="2"/>
  <c r="V36" i="2"/>
  <c r="V42" i="2"/>
  <c r="Q13" i="2"/>
  <c r="Q40" i="2" s="1"/>
  <c r="U42" i="2"/>
  <c r="U36" i="2"/>
  <c r="AA23" i="2"/>
  <c r="AA26" i="2" s="1"/>
  <c r="O36" i="2"/>
  <c r="M36" i="2"/>
  <c r="O42" i="2"/>
  <c r="N13" i="2"/>
  <c r="N40" i="2" s="1"/>
  <c r="Y36" i="2"/>
  <c r="M42" i="2"/>
  <c r="N36" i="2"/>
  <c r="N42" i="2"/>
  <c r="AA14" i="2"/>
  <c r="AA41" i="2" s="1"/>
  <c r="Z20" i="2"/>
  <c r="Z21" i="2" s="1"/>
  <c r="Z23" i="2"/>
  <c r="Z26" i="2" s="1"/>
  <c r="P36" i="2"/>
  <c r="AA6" i="2"/>
  <c r="AA8" i="2" s="1"/>
  <c r="Q36" i="2"/>
  <c r="Q21" i="2"/>
  <c r="R21" i="2"/>
  <c r="AA16" i="2"/>
  <c r="R41" i="2"/>
  <c r="R36" i="2"/>
  <c r="Q42" i="2"/>
  <c r="R42" i="2"/>
  <c r="Z12" i="2"/>
  <c r="Z8" i="2"/>
  <c r="Y13" i="2"/>
  <c r="X13" i="2"/>
  <c r="I13" i="2"/>
  <c r="M13" i="2"/>
  <c r="J13" i="2"/>
  <c r="K13" i="2"/>
  <c r="O13" i="2"/>
  <c r="L13" i="2"/>
  <c r="P13" i="2"/>
  <c r="AL6" i="2" l="1"/>
  <c r="AL33" i="2"/>
  <c r="T12" i="2"/>
  <c r="T13" i="2" s="1"/>
  <c r="T40" i="2" s="1"/>
  <c r="U12" i="2"/>
  <c r="U13" i="2" s="1"/>
  <c r="U22" i="2" s="1"/>
  <c r="V12" i="2"/>
  <c r="V13" i="2" s="1"/>
  <c r="V22" i="2" s="1"/>
  <c r="T39" i="2"/>
  <c r="Z38" i="2"/>
  <c r="Z39" i="2"/>
  <c r="Z37" i="2"/>
  <c r="AB10" i="2"/>
  <c r="S36" i="2"/>
  <c r="AA39" i="2"/>
  <c r="AA37" i="2"/>
  <c r="AA38" i="2"/>
  <c r="V37" i="2"/>
  <c r="AB8" i="2"/>
  <c r="N22" i="2"/>
  <c r="N43" i="2" s="1"/>
  <c r="AA21" i="2"/>
  <c r="M22" i="2"/>
  <c r="M40" i="2"/>
  <c r="Q22" i="2"/>
  <c r="J22" i="2"/>
  <c r="J40" i="2"/>
  <c r="X22" i="2"/>
  <c r="X43" i="2" s="1"/>
  <c r="X40" i="2"/>
  <c r="L22" i="2"/>
  <c r="L40" i="2"/>
  <c r="Y22" i="2"/>
  <c r="Y40" i="2"/>
  <c r="R22" i="2"/>
  <c r="O22" i="2"/>
  <c r="O40" i="2"/>
  <c r="Z13" i="2"/>
  <c r="Z40" i="2" s="1"/>
  <c r="Z36" i="2"/>
  <c r="AB41" i="2"/>
  <c r="Z42" i="2"/>
  <c r="I22" i="2"/>
  <c r="I40" i="2"/>
  <c r="K22" i="2"/>
  <c r="K40" i="2"/>
  <c r="P22" i="2"/>
  <c r="P40" i="2"/>
  <c r="AA42" i="2"/>
  <c r="AA36" i="2"/>
  <c r="AB36" i="2" l="1"/>
  <c r="T22" i="2"/>
  <c r="T27" i="2" s="1"/>
  <c r="S38" i="2"/>
  <c r="U40" i="2"/>
  <c r="V40" i="2"/>
  <c r="AB38" i="2"/>
  <c r="S21" i="2"/>
  <c r="AB16" i="2"/>
  <c r="AB42" i="2" s="1"/>
  <c r="S42" i="2"/>
  <c r="V27" i="2"/>
  <c r="V43" i="2"/>
  <c r="AC8" i="2"/>
  <c r="AB9" i="2"/>
  <c r="AB37" i="2" s="1"/>
  <c r="S12" i="2"/>
  <c r="S13" i="2" s="1"/>
  <c r="S40" i="2" s="1"/>
  <c r="S37" i="2"/>
  <c r="S39" i="2"/>
  <c r="AB11" i="2"/>
  <c r="AB39" i="2" s="1"/>
  <c r="U27" i="2"/>
  <c r="U43" i="2"/>
  <c r="N27" i="2"/>
  <c r="AA12" i="2"/>
  <c r="AA13" i="2" s="1"/>
  <c r="AA40" i="2" s="1"/>
  <c r="Z22" i="2"/>
  <c r="Z43" i="2" s="1"/>
  <c r="R27" i="2"/>
  <c r="R48" i="2" s="1"/>
  <c r="R62" i="2" s="1"/>
  <c r="R67" i="2" s="1"/>
  <c r="R43" i="2"/>
  <c r="J27" i="2"/>
  <c r="J43" i="2"/>
  <c r="X27" i="2"/>
  <c r="X29" i="2" s="1"/>
  <c r="Q27" i="2"/>
  <c r="Q48" i="2" s="1"/>
  <c r="Q62" i="2" s="1"/>
  <c r="Q67" i="2" s="1"/>
  <c r="Q43" i="2"/>
  <c r="K27" i="2"/>
  <c r="K48" i="2" s="1"/>
  <c r="K62" i="2" s="1"/>
  <c r="K67" i="2" s="1"/>
  <c r="K43" i="2"/>
  <c r="Y27" i="2"/>
  <c r="Y43" i="2"/>
  <c r="O27" i="2"/>
  <c r="O48" i="2" s="1"/>
  <c r="O62" i="2" s="1"/>
  <c r="O67" i="2" s="1"/>
  <c r="O43" i="2"/>
  <c r="I27" i="2"/>
  <c r="I43" i="2"/>
  <c r="L27" i="2"/>
  <c r="L48" i="2" s="1"/>
  <c r="L62" i="2" s="1"/>
  <c r="L67" i="2" s="1"/>
  <c r="L43" i="2"/>
  <c r="M27" i="2"/>
  <c r="M48" i="2" s="1"/>
  <c r="M62" i="2" s="1"/>
  <c r="M67" i="2" s="1"/>
  <c r="M43" i="2"/>
  <c r="P27" i="2"/>
  <c r="P48" i="2" s="1"/>
  <c r="P62" i="2" s="1"/>
  <c r="P67" i="2" s="1"/>
  <c r="P43" i="2"/>
  <c r="T43" i="2" l="1"/>
  <c r="N44" i="2"/>
  <c r="N48" i="2"/>
  <c r="N62" i="2" s="1"/>
  <c r="N67" i="2" s="1"/>
  <c r="AB12" i="2"/>
  <c r="AB13" i="2" s="1"/>
  <c r="AB40" i="2" s="1"/>
  <c r="V28" i="2"/>
  <c r="V44" i="2" s="1"/>
  <c r="AD8" i="2"/>
  <c r="U28" i="2"/>
  <c r="U44" i="2" s="1"/>
  <c r="T28" i="2"/>
  <c r="T44" i="2" s="1"/>
  <c r="S22" i="2"/>
  <c r="Z27" i="2"/>
  <c r="N29" i="2"/>
  <c r="N31" i="2" s="1"/>
  <c r="AA22" i="2"/>
  <c r="AA43" i="2" s="1"/>
  <c r="AB21" i="2"/>
  <c r="Q44" i="2"/>
  <c r="AC41" i="2"/>
  <c r="I29" i="2"/>
  <c r="I44" i="2"/>
  <c r="J29" i="2"/>
  <c r="J44" i="2"/>
  <c r="R29" i="2"/>
  <c r="AC42" i="2"/>
  <c r="AC40" i="2"/>
  <c r="AC36" i="2"/>
  <c r="M29" i="2"/>
  <c r="M44" i="2"/>
  <c r="Y29" i="2"/>
  <c r="Y44" i="2"/>
  <c r="X44" i="2"/>
  <c r="L29" i="2"/>
  <c r="L44" i="2"/>
  <c r="O29" i="2"/>
  <c r="O44" i="2"/>
  <c r="K29" i="2"/>
  <c r="K44" i="2"/>
  <c r="X31" i="2"/>
  <c r="X45" i="2"/>
  <c r="P29" i="2"/>
  <c r="P44" i="2"/>
  <c r="Z44" i="2" l="1"/>
  <c r="Z48" i="2"/>
  <c r="Z62" i="2" s="1"/>
  <c r="Z67" i="2" s="1"/>
  <c r="Z29" i="2"/>
  <c r="AB22" i="2"/>
  <c r="AB43" i="2" s="1"/>
  <c r="AD40" i="2"/>
  <c r="AD42" i="2"/>
  <c r="T29" i="2"/>
  <c r="T31" i="2" s="1"/>
  <c r="AE8" i="2"/>
  <c r="U29" i="2"/>
  <c r="S27" i="2"/>
  <c r="S43" i="2"/>
  <c r="V29" i="2"/>
  <c r="N45" i="2"/>
  <c r="AC12" i="2"/>
  <c r="AA27" i="2"/>
  <c r="AA48" i="2" s="1"/>
  <c r="AA62" i="2" s="1"/>
  <c r="AA67" i="2" s="1"/>
  <c r="R31" i="2"/>
  <c r="R45" i="2"/>
  <c r="M31" i="2"/>
  <c r="M45" i="2"/>
  <c r="O31" i="2"/>
  <c r="O45" i="2"/>
  <c r="Z31" i="2"/>
  <c r="Z45" i="2"/>
  <c r="J31" i="2"/>
  <c r="J45" i="2"/>
  <c r="AD41" i="2"/>
  <c r="I31" i="2"/>
  <c r="I45" i="2"/>
  <c r="L31" i="2"/>
  <c r="L45" i="2"/>
  <c r="Q29" i="2"/>
  <c r="AC21" i="2"/>
  <c r="AC22" i="2" s="1"/>
  <c r="Y31" i="2"/>
  <c r="Y45" i="2"/>
  <c r="AD36" i="2"/>
  <c r="K31" i="2"/>
  <c r="K45" i="2"/>
  <c r="AA28" i="2"/>
  <c r="R44" i="2"/>
  <c r="P31" i="2"/>
  <c r="P45" i="2"/>
  <c r="AB27" i="2" l="1"/>
  <c r="AB48" i="2" s="1"/>
  <c r="AB62" i="2" s="1"/>
  <c r="AB67" i="2" s="1"/>
  <c r="T45" i="2"/>
  <c r="AD12" i="2"/>
  <c r="AE40" i="2"/>
  <c r="AE42" i="2"/>
  <c r="V31" i="2"/>
  <c r="V45" i="2"/>
  <c r="S29" i="2"/>
  <c r="U31" i="2"/>
  <c r="U45" i="2"/>
  <c r="AF8" i="2"/>
  <c r="AA29" i="2"/>
  <c r="AA31" i="2" s="1"/>
  <c r="AA44" i="2"/>
  <c r="AD21" i="2"/>
  <c r="AD22" i="2" s="1"/>
  <c r="AC27" i="2"/>
  <c r="AC48" i="2" s="1"/>
  <c r="AC62" i="2" s="1"/>
  <c r="AC67" i="2" s="1"/>
  <c r="AC43" i="2"/>
  <c r="AE41" i="2"/>
  <c r="Q31" i="2"/>
  <c r="Q45" i="2"/>
  <c r="AE36" i="2"/>
  <c r="AE12" i="2" l="1"/>
  <c r="AF40" i="2"/>
  <c r="AF42" i="2"/>
  <c r="S31" i="2"/>
  <c r="S45" i="2"/>
  <c r="AG8" i="2"/>
  <c r="AB28" i="2"/>
  <c r="AB44" i="2" s="1"/>
  <c r="S44" i="2"/>
  <c r="AA45" i="2"/>
  <c r="AC28" i="2"/>
  <c r="AC44" i="2" s="1"/>
  <c r="AF36" i="2"/>
  <c r="AD43" i="2"/>
  <c r="AD27" i="2"/>
  <c r="AD48" i="2" s="1"/>
  <c r="AD62" i="2" s="1"/>
  <c r="AD67" i="2" s="1"/>
  <c r="AF41" i="2"/>
  <c r="AE21" i="2"/>
  <c r="AE22" i="2" s="1"/>
  <c r="AG40" i="2" l="1"/>
  <c r="AG42" i="2"/>
  <c r="AH8" i="2"/>
  <c r="AB29" i="2"/>
  <c r="AB31" i="2" s="1"/>
  <c r="AF12" i="2"/>
  <c r="AF21" i="2"/>
  <c r="AF22" i="2" s="1"/>
  <c r="AF27" i="2" s="1"/>
  <c r="AF48" i="2" s="1"/>
  <c r="AF62" i="2" s="1"/>
  <c r="AF67" i="2" s="1"/>
  <c r="AC29" i="2"/>
  <c r="AC31" i="2" s="1"/>
  <c r="AD28" i="2"/>
  <c r="AD44" i="2" s="1"/>
  <c r="AE27" i="2"/>
  <c r="AE48" i="2" s="1"/>
  <c r="AE62" i="2" s="1"/>
  <c r="AE67" i="2" s="1"/>
  <c r="AE43" i="2"/>
  <c r="AH14" i="2"/>
  <c r="AG41" i="2"/>
  <c r="AG36" i="2"/>
  <c r="AB45" i="2" l="1"/>
  <c r="AH40" i="2"/>
  <c r="AH42" i="2"/>
  <c r="AI8" i="2"/>
  <c r="AD29" i="2"/>
  <c r="AD45" i="2" s="1"/>
  <c r="AG12" i="2"/>
  <c r="AG21" i="2"/>
  <c r="AG22" i="2" s="1"/>
  <c r="AG43" i="2" s="1"/>
  <c r="AF43" i="2"/>
  <c r="AC45" i="2"/>
  <c r="AI14" i="2"/>
  <c r="AH41" i="2"/>
  <c r="AE28" i="2"/>
  <c r="AE44" i="2" s="1"/>
  <c r="AH36" i="2"/>
  <c r="AF28" i="2"/>
  <c r="AF44" i="2" s="1"/>
  <c r="AI40" i="2" l="1"/>
  <c r="AI42" i="2"/>
  <c r="AJ8" i="2"/>
  <c r="AH21" i="2"/>
  <c r="AH22" i="2" s="1"/>
  <c r="AH43" i="2" s="1"/>
  <c r="AD31" i="2"/>
  <c r="AG27" i="2"/>
  <c r="AE29" i="2"/>
  <c r="AF29" i="2"/>
  <c r="AJ14" i="2"/>
  <c r="AI41" i="2"/>
  <c r="AH12" i="2"/>
  <c r="AI36" i="2"/>
  <c r="AG28" i="2" l="1"/>
  <c r="AG44" i="2" s="1"/>
  <c r="AG48" i="2"/>
  <c r="AG62" i="2" s="1"/>
  <c r="AG67" i="2" s="1"/>
  <c r="AJ40" i="2"/>
  <c r="AJ42" i="2"/>
  <c r="AL8" i="2"/>
  <c r="AK8" i="2"/>
  <c r="AI21" i="2"/>
  <c r="AI22" i="2" s="1"/>
  <c r="AI27" i="2" s="1"/>
  <c r="AI48" i="2" s="1"/>
  <c r="AI62" i="2" s="1"/>
  <c r="AI67" i="2" s="1"/>
  <c r="AH27" i="2"/>
  <c r="AI12" i="2"/>
  <c r="AE45" i="2"/>
  <c r="AE31" i="2"/>
  <c r="AJ41" i="2"/>
  <c r="AK14" i="2"/>
  <c r="AF31" i="2"/>
  <c r="AF45" i="2"/>
  <c r="AJ36" i="2"/>
  <c r="AH28" i="2" l="1"/>
  <c r="AH44" i="2" s="1"/>
  <c r="AH48" i="2"/>
  <c r="AH62" i="2" s="1"/>
  <c r="AH67" i="2" s="1"/>
  <c r="AG29" i="2"/>
  <c r="AG45" i="2" s="1"/>
  <c r="AK40" i="2"/>
  <c r="AK42" i="2"/>
  <c r="AI43" i="2"/>
  <c r="AJ12" i="2"/>
  <c r="AI28" i="2"/>
  <c r="AI44" i="2" s="1"/>
  <c r="AK41" i="2"/>
  <c r="AL14" i="2"/>
  <c r="AK36" i="2"/>
  <c r="AJ21" i="2"/>
  <c r="AJ22" i="2" s="1"/>
  <c r="AH29" i="2" l="1"/>
  <c r="AH31" i="2" s="1"/>
  <c r="AG31" i="2"/>
  <c r="AK21" i="2"/>
  <c r="AK22" i="2" s="1"/>
  <c r="AK27" i="2" s="1"/>
  <c r="AK48" i="2" s="1"/>
  <c r="AK62" i="2" s="1"/>
  <c r="AK67" i="2" s="1"/>
  <c r="AK12" i="2"/>
  <c r="AL41" i="2"/>
  <c r="AJ43" i="2"/>
  <c r="AJ27" i="2"/>
  <c r="AJ48" i="2" s="1"/>
  <c r="AJ62" i="2" s="1"/>
  <c r="AJ67" i="2" s="1"/>
  <c r="AI29" i="2"/>
  <c r="AL42" i="2"/>
  <c r="AL40" i="2"/>
  <c r="AL36" i="2"/>
  <c r="AH45" i="2" l="1"/>
  <c r="AK43" i="2"/>
  <c r="AL12" i="2"/>
  <c r="AI31" i="2"/>
  <c r="AI45" i="2"/>
  <c r="AJ28" i="2"/>
  <c r="AJ44" i="2" s="1"/>
  <c r="AL21" i="2"/>
  <c r="AL22" i="2" s="1"/>
  <c r="AK28" i="2"/>
  <c r="AK44" i="2" s="1"/>
  <c r="AJ29" i="2" l="1"/>
  <c r="AJ31" i="2" s="1"/>
  <c r="AK29" i="2"/>
  <c r="AK31" i="2" s="1"/>
  <c r="AL27" i="2"/>
  <c r="AL48" i="2" s="1"/>
  <c r="AL62" i="2" s="1"/>
  <c r="AL67" i="2" s="1"/>
  <c r="AM67" i="2" s="1"/>
  <c r="AN67" i="2" s="1"/>
  <c r="AO67" i="2" s="1"/>
  <c r="AP67" i="2" s="1"/>
  <c r="AQ67" i="2" s="1"/>
  <c r="AR67" i="2" s="1"/>
  <c r="AS67" i="2" s="1"/>
  <c r="AT67" i="2" s="1"/>
  <c r="AU67" i="2" s="1"/>
  <c r="AV67" i="2" s="1"/>
  <c r="AW67" i="2" s="1"/>
  <c r="AX67" i="2" s="1"/>
  <c r="AY67" i="2" s="1"/>
  <c r="AZ67" i="2" s="1"/>
  <c r="BA67" i="2" s="1"/>
  <c r="BB67" i="2" s="1"/>
  <c r="BC67" i="2" s="1"/>
  <c r="BD67" i="2" s="1"/>
  <c r="BE67" i="2" s="1"/>
  <c r="BF67" i="2" s="1"/>
  <c r="BG67" i="2" s="1"/>
  <c r="BH67" i="2" s="1"/>
  <c r="BI67" i="2" s="1"/>
  <c r="BJ67" i="2" s="1"/>
  <c r="BK67" i="2" s="1"/>
  <c r="BL67" i="2" s="1"/>
  <c r="BM67" i="2" s="1"/>
  <c r="BN67" i="2" s="1"/>
  <c r="BO67" i="2" s="1"/>
  <c r="BP67" i="2" s="1"/>
  <c r="BQ67" i="2" s="1"/>
  <c r="BR67" i="2" s="1"/>
  <c r="BS67" i="2" s="1"/>
  <c r="BT67" i="2" s="1"/>
  <c r="BU67" i="2" s="1"/>
  <c r="BV67" i="2" s="1"/>
  <c r="BW67" i="2" s="1"/>
  <c r="BX67" i="2" s="1"/>
  <c r="BY67" i="2" s="1"/>
  <c r="BZ67" i="2" s="1"/>
  <c r="CA67" i="2" s="1"/>
  <c r="CB67" i="2" s="1"/>
  <c r="CC67" i="2" s="1"/>
  <c r="CD67" i="2" s="1"/>
  <c r="CE67" i="2" s="1"/>
  <c r="CF67" i="2" s="1"/>
  <c r="CG67" i="2" s="1"/>
  <c r="CH67" i="2" s="1"/>
  <c r="CI67" i="2" s="1"/>
  <c r="CJ67" i="2" s="1"/>
  <c r="CK67" i="2" s="1"/>
  <c r="CL67" i="2" s="1"/>
  <c r="CM67" i="2" s="1"/>
  <c r="CN67" i="2" s="1"/>
  <c r="CO67" i="2" s="1"/>
  <c r="CP67" i="2" s="1"/>
  <c r="CQ67" i="2" s="1"/>
  <c r="CR67" i="2" s="1"/>
  <c r="CS67" i="2" s="1"/>
  <c r="CT67" i="2" s="1"/>
  <c r="CU67" i="2" s="1"/>
  <c r="CV67" i="2" s="1"/>
  <c r="CW67" i="2" s="1"/>
  <c r="CX67" i="2" s="1"/>
  <c r="CY67" i="2" s="1"/>
  <c r="CZ67" i="2" s="1"/>
  <c r="DA67" i="2" s="1"/>
  <c r="DB67" i="2" s="1"/>
  <c r="DC67" i="2" s="1"/>
  <c r="DD67" i="2" s="1"/>
  <c r="DE67" i="2" s="1"/>
  <c r="DF67" i="2" s="1"/>
  <c r="DG67" i="2" s="1"/>
  <c r="DH67" i="2" s="1"/>
  <c r="DI67" i="2" s="1"/>
  <c r="DJ67" i="2" s="1"/>
  <c r="DK67" i="2" s="1"/>
  <c r="DL67" i="2" s="1"/>
  <c r="DM67" i="2" s="1"/>
  <c r="DN67" i="2" s="1"/>
  <c r="DO67" i="2" s="1"/>
  <c r="DP67" i="2" s="1"/>
  <c r="DQ67" i="2" s="1"/>
  <c r="DR67" i="2" s="1"/>
  <c r="DS67" i="2" s="1"/>
  <c r="DT67" i="2" s="1"/>
  <c r="DU67" i="2" s="1"/>
  <c r="DV67" i="2" s="1"/>
  <c r="DW67" i="2" s="1"/>
  <c r="DX67" i="2" s="1"/>
  <c r="DY67" i="2" s="1"/>
  <c r="DZ67" i="2" s="1"/>
  <c r="EA67" i="2" s="1"/>
  <c r="EB67" i="2" s="1"/>
  <c r="EC67" i="2" s="1"/>
  <c r="ED67" i="2" s="1"/>
  <c r="EE67" i="2" s="1"/>
  <c r="EF67" i="2" s="1"/>
  <c r="EG67" i="2" s="1"/>
  <c r="EH67" i="2" s="1"/>
  <c r="EI67" i="2" s="1"/>
  <c r="EJ67" i="2" s="1"/>
  <c r="AO70" i="2" s="1"/>
  <c r="AO72" i="2" s="1"/>
  <c r="AO73" i="2" s="1"/>
  <c r="AO75" i="2" s="1"/>
  <c r="AL43" i="2"/>
  <c r="AJ45" i="2" l="1"/>
  <c r="AK45" i="2"/>
  <c r="AL28" i="2"/>
  <c r="AL44" i="2" s="1"/>
  <c r="AL29" i="2" l="1"/>
  <c r="AL31" i="2" l="1"/>
  <c r="AM29" i="2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EF29" i="2" s="1"/>
  <c r="EG29" i="2" s="1"/>
  <c r="EH29" i="2" s="1"/>
  <c r="EI29" i="2" s="1"/>
  <c r="EJ29" i="2" s="1"/>
  <c r="EK29" i="2" s="1"/>
  <c r="EL29" i="2" s="1"/>
  <c r="EM29" i="2" s="1"/>
  <c r="EN29" i="2" s="1"/>
  <c r="AL45" i="2"/>
  <c r="AO42" i="2" l="1"/>
  <c r="AO44" i="2" s="1"/>
  <c r="AO45" i="2" s="1"/>
  <c r="AO47" i="2" s="1"/>
</calcChain>
</file>

<file path=xl/sharedStrings.xml><?xml version="1.0" encoding="utf-8"?>
<sst xmlns="http://schemas.openxmlformats.org/spreadsheetml/2006/main" count="108" uniqueCount="99">
  <si>
    <t>OPRA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</si>
  <si>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</si>
  <si>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</si>
  <si>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</si>
  <si>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</si>
  <si>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</si>
  <si>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</si>
  <si>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</si>
  <si>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</si>
  <si>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</si>
  <si>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</si>
  <si>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</si>
  <si>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</si>
  <si>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</si>
  <si>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</si>
  <si>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</si>
  <si>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</si>
  <si>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</si>
  <si>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</si>
  <si>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</si>
  <si>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</si>
  <si>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</si>
  <si>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</si>
  <si>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</si>
  <si>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Other income</t>
  </si>
  <si>
    <t>Total revenue</t>
  </si>
  <si>
    <t>Technology cost</t>
  </si>
  <si>
    <t>Content cost</t>
  </si>
  <si>
    <t>Inventory cost</t>
  </si>
  <si>
    <t>Total cost of sales</t>
  </si>
  <si>
    <t>Gross profit</t>
  </si>
  <si>
    <t>G&amp;A</t>
  </si>
  <si>
    <t>S&amp;M</t>
  </si>
  <si>
    <t>D&amp;A</t>
  </si>
  <si>
    <t>Other operating expenses</t>
  </si>
  <si>
    <t>Credit loss expense</t>
  </si>
  <si>
    <t>Total operating expenses</t>
  </si>
  <si>
    <t>Operating profit</t>
  </si>
  <si>
    <t>Finance income</t>
  </si>
  <si>
    <t>Finance expense</t>
  </si>
  <si>
    <t>Other financial expense</t>
  </si>
  <si>
    <t>Net financial income</t>
  </si>
  <si>
    <t>Taxes</t>
  </si>
  <si>
    <t>Net profit</t>
  </si>
  <si>
    <t>EPS</t>
  </si>
  <si>
    <t>Pretax profit</t>
  </si>
  <si>
    <t>Revenue y/y</t>
  </si>
  <si>
    <t>Gross Margin</t>
  </si>
  <si>
    <t>G&amp;A y/y</t>
  </si>
  <si>
    <t>S&amp;M Margin</t>
  </si>
  <si>
    <t>Operating Margin</t>
  </si>
  <si>
    <t>Net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</si>
  <si>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</si>
  <si>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</si>
  <si>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</si>
  <si>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</si>
  <si>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</si>
  <si>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</si>
  <si>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</si>
  <si>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</si>
  <si>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</si>
  <si>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Q125</t>
  </si>
  <si>
    <t>Q225</t>
  </si>
  <si>
    <t>Q325</t>
  </si>
  <si>
    <t>Q425</t>
  </si>
  <si>
    <t>Technology Margin</t>
  </si>
  <si>
    <t>Content Margin</t>
  </si>
  <si>
    <t>Inventory Margin</t>
  </si>
  <si>
    <t>Ad revenue</t>
  </si>
  <si>
    <t>Search revenue</t>
  </si>
  <si>
    <t>Licensing revenue</t>
  </si>
  <si>
    <t>Net finance expense</t>
  </si>
  <si>
    <t>Gain on investments</t>
  </si>
  <si>
    <t>Loss on equity</t>
  </si>
  <si>
    <t>Impairment</t>
  </si>
  <si>
    <t>SBC</t>
  </si>
  <si>
    <t>Other</t>
  </si>
  <si>
    <t>T/R</t>
  </si>
  <si>
    <t>OCA</t>
  </si>
  <si>
    <t>T/P</t>
  </si>
  <si>
    <t>D/R</t>
  </si>
  <si>
    <t>Other liabilities</t>
  </si>
  <si>
    <t>CFFO</t>
  </si>
  <si>
    <t>PP&amp;E</t>
  </si>
  <si>
    <t>Intangibles</t>
  </si>
  <si>
    <t>FCF</t>
  </si>
  <si>
    <t>Development</t>
  </si>
  <si>
    <t>Total CapEx</t>
  </si>
  <si>
    <t>Q121</t>
  </si>
  <si>
    <t>Q221</t>
  </si>
  <si>
    <t>Q321</t>
  </si>
  <si>
    <t>Q421</t>
  </si>
  <si>
    <t>Ad revenue y/y</t>
  </si>
  <si>
    <t>Search revenue y/y</t>
  </si>
  <si>
    <t>Licensing revenue y/y</t>
  </si>
  <si>
    <t>look at competitors, MAU, etc.</t>
  </si>
  <si>
    <t>Q125 6K</t>
  </si>
  <si>
    <t>depends on gross margin</t>
  </si>
  <si>
    <t>Slightly undervalued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</si>
</sst>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</xdr:colOff>
      <xdr:row>0</xdr:row>
      <xdr:rowOff>0</xdr:rowOff>
    </xdr:from>
    <xdr:to>
      <xdr:col>18</xdr:col>
      <xdr:colOff>22860</xdr:colOff>
      <xdr:row>75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718106C-A8F0-0BDE-A0EA-F596A533D8C3}"/>
            </a:ext>
          </a:extLst>
        </xdr:cNvPr>
        <xdr:cNvCxnSpPr/>
      </xdr:nvCxnSpPr>
      <xdr:spPr>
        <a:xfrm>
          <a:off x="9540240" y="0"/>
          <a:ext cx="0" cy="129082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30480</xdr:colOff>
      <xdr:row>0</xdr:row>
      <xdr:rowOff>22860</xdr:rowOff>
    </xdr:from>
    <xdr:to>
      <xdr:col>27</xdr:col>
      <xdr:colOff>30480</xdr:colOff>
      <xdr:row>72</xdr:row>
      <xdr:rowOff>106680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9DFEC9A-6055-2CE0-108D-89A61BDA9F9E}"/>
            </a:ext>
          </a:extLst>
        </xdr:cNvPr>
        <xdr:cNvCxnSpPr/>
      </xdr:nvCxnSpPr>
      <xdr:spPr>
        <a:xfrm>
          <a:off x="15034260" y="22860"/>
          <a:ext cx="0" cy="12336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F24F-0FF1-4D97-8831-8965AF24963A}">
  <dimension ref="B2:I12"/>
  <sheetViews>
    <sheetView tabSelected="1" workbookViewId="0">
      <selection activeCell="D4" sqref="D4"/>
    </sheetView>
  </sheetViews>
  <sheetFormatPr defaultRowHeight="14.4" x14ac:dyDescent="0.3"/>
  <cols>
    <col min="5" max="7" width="13.21875" style="4" customWidth="1"/>
    <col min="8" max="8" width="8.88671875" style="4" customWidth="1"/>
  </cols>
  <sheetData>
    <row r="2" spans="2:9" x14ac:dyDescent="0.3">
      <c r="E2" s="4" t="s">
        <v>8</v>
      </c>
      <c r="F2" s="4" t="s">
        <v>9</v>
      </c>
      <c r="G2" s="4" t="s">
        <v>10</v>
      </c>
    </row>
    <row r="3" spans="2:9" x14ac:dyDescent="0.3">
      <c r="B3" s="1" t="s">
        <v>0</v>
      </c>
      <c r="C3" t="s">
        <v>1</v>
      </c>
      <c r="D3" s="2">
        <v>16.87</v>
      </c>
      <c r="E3" s="5">
        <v>45776</v>
      </c>
      <c r="F3" s="5">
        <f ca="1">TODAY()</f>
        <v>45776</v>
      </c>
      <c r="G3" s="5">
        <v>45890</v>
      </c>
    </row>
    <row r="4" spans="2:9" x14ac:dyDescent="0.3">
      <c r="C4" t="s">
        <v>2</v>
      </c>
      <c r="D4" s="3">
        <v>89.5</v>
      </c>
      <c r="E4" s="4" t="s">
        <v>96</v>
      </c>
    </row>
    <row r="5" spans="2:9" x14ac:dyDescent="0.3">
      <c r="C5" t="s">
        <v>3</v>
      </c>
      <c r="D5" s="3">
        <f>D3*D4</f>
        <v>1509.865</v>
      </c>
    </row>
    <row r="6" spans="2:9" x14ac:dyDescent="0.3">
      <c r="C6" t="s">
        <v>4</v>
      </c>
      <c r="D6" s="3">
        <f>126.8</f>
        <v>126.8</v>
      </c>
      <c r="E6" s="4" t="s">
        <v>61</v>
      </c>
    </row>
    <row r="7" spans="2:9" x14ac:dyDescent="0.3">
      <c r="C7" t="s">
        <v>5</v>
      </c>
      <c r="D7" s="3">
        <v>0</v>
      </c>
      <c r="E7" s="4" t="s">
        <v>61</v>
      </c>
    </row>
    <row r="8" spans="2:9" x14ac:dyDescent="0.3">
      <c r="C8" t="s">
        <v>6</v>
      </c>
      <c r="D8" s="3">
        <f>D6-D7</f>
        <v>126.8</v>
      </c>
    </row>
    <row r="9" spans="2:9" x14ac:dyDescent="0.3">
      <c r="C9" t="s">
        <v>7</v>
      </c>
      <c r="D9" s="3">
        <f>D5-D8</f>
        <v>1383.0650000000001</v>
      </c>
    </row>
    <row r="12" spans="2:9" x14ac:dyDescent="0.3">
      <c r="I12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86974-423B-4A8A-B377-188B73E3D0FA}">
  <dimension ref="B2:EN75"/>
  <sheetViews>
    <sheetView workbookViewId="0">
      <pane xSplit="2" ySplit="2" topLeftCell="Z25" activePane="bottomRight" state="frozen"/>
      <selection pane="topRight" activeCell="C1" sqref="C1"/>
      <selection pane="bottomLeft" activeCell="A3" sqref="A3"/>
      <selection pane="bottomRight" activeCell="AO41" sqref="AO41"/>
    </sheetView>
  </sheetViews>
  <sheetFormatPr defaultRowHeight="14.4" x14ac:dyDescent="0.3"/>
  <cols>
    <col min="2" max="2" width="23.21875" customWidth="1"/>
    <col min="3" max="6" width="8.88671875" customWidth="1"/>
    <col min="40" max="40" width="12" bestFit="1" customWidth="1"/>
    <col min="41" max="41" width="18" customWidth="1"/>
  </cols>
  <sheetData>
    <row r="2" spans="2:38" x14ac:dyDescent="0.3">
      <c r="C2" s="6" t="s">
        <v>88</v>
      </c>
      <c r="D2" s="6" t="s">
        <v>89</v>
      </c>
      <c r="E2" s="6" t="s">
        <v>90</v>
      </c>
      <c r="F2" s="6" t="s">
        <v>91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6" t="s">
        <v>22</v>
      </c>
      <c r="S2" s="6" t="s">
        <v>61</v>
      </c>
      <c r="T2" s="6" t="s">
        <v>62</v>
      </c>
      <c r="U2" s="6" t="s">
        <v>63</v>
      </c>
      <c r="V2" s="6" t="s">
        <v>64</v>
      </c>
      <c r="X2">
        <v>2021</v>
      </c>
      <c r="Y2">
        <v>2022</v>
      </c>
      <c r="Z2">
        <v>2023</v>
      </c>
      <c r="AA2">
        <v>2024</v>
      </c>
      <c r="AB2">
        <v>2025</v>
      </c>
      <c r="AC2">
        <v>2026</v>
      </c>
      <c r="AD2">
        <v>2027</v>
      </c>
      <c r="AE2">
        <v>2028</v>
      </c>
      <c r="AF2">
        <v>2029</v>
      </c>
      <c r="AG2">
        <v>2030</v>
      </c>
      <c r="AH2">
        <v>2031</v>
      </c>
      <c r="AI2">
        <v>2032</v>
      </c>
      <c r="AJ2">
        <v>2033</v>
      </c>
      <c r="AK2">
        <v>2034</v>
      </c>
      <c r="AL2">
        <v>2035</v>
      </c>
    </row>
    <row r="3" spans="2:38" x14ac:dyDescent="0.3">
      <c r="B3" t="s">
        <v>68</v>
      </c>
      <c r="C3" s="3">
        <v>26.7</v>
      </c>
      <c r="D3" s="3">
        <v>28.9</v>
      </c>
      <c r="E3" s="3">
        <v>34.9</v>
      </c>
      <c r="F3" s="3">
        <v>36.700000000000003</v>
      </c>
      <c r="G3" s="11">
        <v>38.5</v>
      </c>
      <c r="H3" s="11">
        <v>43.1</v>
      </c>
      <c r="I3" s="11">
        <v>49.1</v>
      </c>
      <c r="J3" s="11">
        <v>56.8</v>
      </c>
      <c r="K3" s="11">
        <v>48.5</v>
      </c>
      <c r="L3" s="11">
        <v>53.8</v>
      </c>
      <c r="M3" s="11">
        <v>60.8</v>
      </c>
      <c r="N3" s="11">
        <v>67.8</v>
      </c>
      <c r="O3" s="11">
        <v>58.6</v>
      </c>
      <c r="P3" s="11">
        <v>64.599999999999994</v>
      </c>
      <c r="Q3" s="3">
        <v>76.8</v>
      </c>
      <c r="R3" s="11">
        <v>93.3</v>
      </c>
      <c r="S3" s="11">
        <v>95.6</v>
      </c>
      <c r="T3" s="11">
        <f>P3*1.5</f>
        <v>96.899999999999991</v>
      </c>
      <c r="U3" s="11">
        <f>Q3*1.27</f>
        <v>97.536000000000001</v>
      </c>
      <c r="V3" s="11">
        <f>R3*1.07</f>
        <v>99.831000000000003</v>
      </c>
      <c r="X3" s="3">
        <f>SUM(C3:F3)</f>
        <v>127.2</v>
      </c>
      <c r="Y3" s="3">
        <f>SUM(G3:J3)</f>
        <v>187.5</v>
      </c>
      <c r="Z3" s="3">
        <f t="shared" ref="Z3:Z5" si="0">SUM(K3:N3)</f>
        <v>230.89999999999998</v>
      </c>
      <c r="AA3" s="3">
        <f>SUM(O3:R3)</f>
        <v>293.3</v>
      </c>
      <c r="AB3" s="3">
        <f>SUM(S3:V3)</f>
        <v>389.86700000000002</v>
      </c>
      <c r="AC3" s="3">
        <f>AB3*1.18</f>
        <v>460.04306000000003</v>
      </c>
      <c r="AD3" s="3">
        <f>AC3*1.12</f>
        <v>515.24822720000009</v>
      </c>
      <c r="AE3" s="3">
        <f>AD3*1.06</f>
        <v>546.16312083200012</v>
      </c>
      <c r="AF3" s="3">
        <f>AE3*1.04</f>
        <v>568.00964566528012</v>
      </c>
      <c r="AG3" s="3">
        <f>AF3*1.03</f>
        <v>585.04993503523849</v>
      </c>
      <c r="AH3" s="3">
        <f>AG3*1.02</f>
        <v>596.75093373594325</v>
      </c>
      <c r="AI3" s="3">
        <f t="shared" ref="AI3:AL4" si="1">AH3*1.02</f>
        <v>608.68595241066214</v>
      </c>
      <c r="AJ3" s="3">
        <f t="shared" si="1"/>
        <v>620.85967145887537</v>
      </c>
      <c r="AK3" s="3">
        <f t="shared" si="1"/>
        <v>633.27686488805284</v>
      </c>
      <c r="AL3" s="3">
        <f t="shared" si="1"/>
        <v>645.94240218581388</v>
      </c>
    </row>
    <row r="4" spans="2:38" x14ac:dyDescent="0.3">
      <c r="B4" t="s">
        <v>69</v>
      </c>
      <c r="C4" s="3">
        <v>23.4</v>
      </c>
      <c r="D4" s="3">
        <v>29.8</v>
      </c>
      <c r="E4" s="3">
        <v>30.7</v>
      </c>
      <c r="F4" s="3">
        <v>34.799999999999997</v>
      </c>
      <c r="G4" s="11">
        <v>32</v>
      </c>
      <c r="H4" s="11">
        <v>33.700000000000003</v>
      </c>
      <c r="I4" s="11">
        <v>35.4</v>
      </c>
      <c r="J4" s="11">
        <v>39</v>
      </c>
      <c r="K4" s="11">
        <v>37.799999999999997</v>
      </c>
      <c r="L4" s="11">
        <v>38.9</v>
      </c>
      <c r="M4" s="11">
        <v>40.799999999999997</v>
      </c>
      <c r="N4" s="11">
        <v>44.7</v>
      </c>
      <c r="O4" s="11">
        <v>43.1</v>
      </c>
      <c r="P4" s="11">
        <v>44.5</v>
      </c>
      <c r="Q4" s="3">
        <v>46.3</v>
      </c>
      <c r="R4" s="11">
        <v>52.3</v>
      </c>
      <c r="S4" s="11">
        <v>46.6</v>
      </c>
      <c r="T4" s="11">
        <f>P4*1.07</f>
        <v>47.615000000000002</v>
      </c>
      <c r="U4" s="11">
        <f t="shared" ref="U4" si="2">Q4*1.07</f>
        <v>49.540999999999997</v>
      </c>
      <c r="V4" s="11">
        <f>R4*1.02</f>
        <v>53.345999999999997</v>
      </c>
      <c r="X4" s="3">
        <f>SUM(C4:F4)</f>
        <v>118.7</v>
      </c>
      <c r="Y4" s="3">
        <f t="shared" ref="Y4:Y5" si="3">SUM(G4:J4)</f>
        <v>140.1</v>
      </c>
      <c r="Z4" s="3">
        <f t="shared" si="0"/>
        <v>162.19999999999999</v>
      </c>
      <c r="AA4" s="3">
        <f t="shared" ref="AA4:AA5" si="4">SUM(O4:R4)</f>
        <v>186.2</v>
      </c>
      <c r="AB4" s="3">
        <f t="shared" ref="AB4:AB5" si="5">SUM(S4:V4)</f>
        <v>197.102</v>
      </c>
      <c r="AC4" s="3">
        <f>AB4*1.05</f>
        <v>206.95710000000003</v>
      </c>
      <c r="AD4" s="3">
        <f>AC4*1.04</f>
        <v>215.23538400000004</v>
      </c>
      <c r="AE4" s="3">
        <f>AD4*1.03</f>
        <v>221.69244552000004</v>
      </c>
      <c r="AF4" s="3">
        <f>AE4*1.02</f>
        <v>226.12629443040004</v>
      </c>
      <c r="AG4" s="3">
        <f t="shared" ref="AG4:AH4" si="6">AF4*1.02</f>
        <v>230.64882031900805</v>
      </c>
      <c r="AH4" s="3">
        <f t="shared" si="6"/>
        <v>235.26179672538822</v>
      </c>
      <c r="AI4" s="3">
        <f t="shared" si="1"/>
        <v>239.96703265989598</v>
      </c>
      <c r="AJ4" s="3">
        <f t="shared" si="1"/>
        <v>244.76637331309391</v>
      </c>
      <c r="AK4" s="3">
        <f t="shared" si="1"/>
        <v>249.66170077935578</v>
      </c>
      <c r="AL4" s="3">
        <f t="shared" si="1"/>
        <v>254.6549347949429</v>
      </c>
    </row>
    <row r="5" spans="2:38" x14ac:dyDescent="0.3">
      <c r="B5" t="s">
        <v>70</v>
      </c>
      <c r="C5" s="3">
        <v>1.4</v>
      </c>
      <c r="D5" s="3">
        <v>1.4</v>
      </c>
      <c r="E5" s="3">
        <v>1</v>
      </c>
      <c r="F5" s="3">
        <v>1.2</v>
      </c>
      <c r="G5" s="11">
        <v>1.1000000000000001</v>
      </c>
      <c r="H5" s="11">
        <v>1</v>
      </c>
      <c r="I5" s="11">
        <v>0.8</v>
      </c>
      <c r="J5" s="11">
        <v>0.5</v>
      </c>
      <c r="K5" s="11">
        <v>0.7</v>
      </c>
      <c r="L5" s="11">
        <v>1.5</v>
      </c>
      <c r="M5" s="11">
        <v>1</v>
      </c>
      <c r="N5" s="11">
        <v>0.5</v>
      </c>
      <c r="O5" s="11">
        <v>0.1</v>
      </c>
      <c r="P5" s="11">
        <v>0.6</v>
      </c>
      <c r="Q5" s="3">
        <v>0.1</v>
      </c>
      <c r="R5" s="11">
        <v>0.2</v>
      </c>
      <c r="S5" s="11">
        <v>0.5</v>
      </c>
      <c r="T5" s="11">
        <f t="shared" ref="T5:V5" si="7">P5*0.3</f>
        <v>0.18</v>
      </c>
      <c r="U5" s="11">
        <f t="shared" si="7"/>
        <v>0.03</v>
      </c>
      <c r="V5" s="11">
        <f t="shared" si="7"/>
        <v>0.06</v>
      </c>
      <c r="X5" s="3">
        <f>SUM(C5:F5)</f>
        <v>5</v>
      </c>
      <c r="Y5" s="3">
        <f t="shared" si="3"/>
        <v>3.4000000000000004</v>
      </c>
      <c r="Z5" s="3">
        <f t="shared" si="0"/>
        <v>3.7</v>
      </c>
      <c r="AA5" s="3">
        <f t="shared" si="4"/>
        <v>1</v>
      </c>
      <c r="AB5" s="3">
        <f t="shared" si="5"/>
        <v>0.77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</row>
    <row r="6" spans="2:38" x14ac:dyDescent="0.3">
      <c r="B6" t="s">
        <v>23</v>
      </c>
      <c r="F6" s="3">
        <f t="shared" ref="F6" si="8">SUM(F3:F5)</f>
        <v>72.7</v>
      </c>
      <c r="G6" s="3">
        <f t="shared" ref="G6" si="9">SUM(G3:G5)</f>
        <v>71.599999999999994</v>
      </c>
      <c r="H6" s="3">
        <f t="shared" ref="H6" si="10">SUM(H3:H5)</f>
        <v>77.800000000000011</v>
      </c>
      <c r="I6" s="3">
        <f t="shared" ref="I6:Q6" si="11">SUM(I3:I5)</f>
        <v>85.3</v>
      </c>
      <c r="J6" s="3">
        <f t="shared" si="11"/>
        <v>96.3</v>
      </c>
      <c r="K6" s="3">
        <f t="shared" si="11"/>
        <v>87</v>
      </c>
      <c r="L6" s="3">
        <f t="shared" si="11"/>
        <v>94.199999999999989</v>
      </c>
      <c r="M6" s="3">
        <f t="shared" si="11"/>
        <v>102.6</v>
      </c>
      <c r="N6" s="3">
        <f t="shared" si="11"/>
        <v>113</v>
      </c>
      <c r="O6" s="3">
        <f t="shared" si="11"/>
        <v>101.8</v>
      </c>
      <c r="P6" s="3">
        <f t="shared" si="11"/>
        <v>109.69999999999999</v>
      </c>
      <c r="Q6" s="3">
        <f t="shared" si="11"/>
        <v>123.19999999999999</v>
      </c>
      <c r="R6" s="3">
        <f>SUM(R3:R5)</f>
        <v>145.79999999999998</v>
      </c>
      <c r="S6" s="3">
        <f t="shared" ref="S6:V6" si="12">SUM(S3:S5)</f>
        <v>142.69999999999999</v>
      </c>
      <c r="T6" s="3">
        <f t="shared" si="12"/>
        <v>144.69499999999999</v>
      </c>
      <c r="U6" s="3">
        <f t="shared" si="12"/>
        <v>147.107</v>
      </c>
      <c r="V6" s="3">
        <f t="shared" si="12"/>
        <v>153.23699999999999</v>
      </c>
      <c r="X6" s="3">
        <v>251</v>
      </c>
      <c r="Y6" s="3">
        <v>331</v>
      </c>
      <c r="Z6" s="3">
        <f>SUM(K6:N6)</f>
        <v>396.79999999999995</v>
      </c>
      <c r="AA6" s="3">
        <f>SUM(O6:R6)</f>
        <v>480.5</v>
      </c>
      <c r="AB6" s="3">
        <f>SUM(S6:V6)</f>
        <v>587.73899999999992</v>
      </c>
      <c r="AC6" s="3">
        <f>SUM(AC3:AC5)</f>
        <v>667.00016000000005</v>
      </c>
      <c r="AD6" s="3">
        <f t="shared" ref="AD6:AL6" si="13">SUM(AD3:AD5)</f>
        <v>730.48361120000015</v>
      </c>
      <c r="AE6" s="3">
        <f t="shared" si="13"/>
        <v>767.8555663520001</v>
      </c>
      <c r="AF6" s="3">
        <f t="shared" si="13"/>
        <v>794.1359400956801</v>
      </c>
      <c r="AG6" s="3">
        <f t="shared" si="13"/>
        <v>815.69875535424649</v>
      </c>
      <c r="AH6" s="3">
        <f t="shared" si="13"/>
        <v>832.01273046133144</v>
      </c>
      <c r="AI6" s="3">
        <f t="shared" si="13"/>
        <v>848.65298507055809</v>
      </c>
      <c r="AJ6" s="3">
        <f t="shared" si="13"/>
        <v>865.6260447719693</v>
      </c>
      <c r="AK6" s="3">
        <f t="shared" si="13"/>
        <v>882.93856566740862</v>
      </c>
      <c r="AL6" s="3">
        <f t="shared" si="13"/>
        <v>900.59733698075684</v>
      </c>
    </row>
    <row r="7" spans="2:38" x14ac:dyDescent="0.3">
      <c r="B7" t="s">
        <v>24</v>
      </c>
      <c r="I7" s="3">
        <v>0.1</v>
      </c>
      <c r="J7" s="3">
        <v>0.1</v>
      </c>
      <c r="K7" s="3">
        <v>0.1</v>
      </c>
      <c r="L7" s="3">
        <v>0.1</v>
      </c>
      <c r="M7" s="3">
        <v>0</v>
      </c>
      <c r="N7" s="3">
        <v>0.5</v>
      </c>
      <c r="O7" s="3">
        <v>0.3</v>
      </c>
      <c r="P7" s="3">
        <v>1.3</v>
      </c>
      <c r="Q7" s="3">
        <v>0.7</v>
      </c>
      <c r="R7" s="3">
        <v>0.1</v>
      </c>
      <c r="S7" s="3">
        <v>0</v>
      </c>
      <c r="T7" s="3">
        <v>0.5</v>
      </c>
      <c r="U7" s="3">
        <v>0.5</v>
      </c>
      <c r="V7" s="3">
        <v>0.5</v>
      </c>
      <c r="X7" s="3">
        <v>0.5</v>
      </c>
      <c r="Y7" s="3">
        <v>0.5</v>
      </c>
      <c r="Z7" s="3">
        <f>SUM(K7:N7)</f>
        <v>0.7</v>
      </c>
      <c r="AA7" s="3">
        <f>SUM(O7:R7)</f>
        <v>2.4</v>
      </c>
      <c r="AB7" s="3">
        <f>SUM(S7:V7)</f>
        <v>1.5</v>
      </c>
      <c r="AC7" s="3">
        <f t="shared" ref="AC7:AF7" si="14">AB7*1.2</f>
        <v>1.7999999999999998</v>
      </c>
      <c r="AD7" s="3">
        <f t="shared" si="14"/>
        <v>2.1599999999999997</v>
      </c>
      <c r="AE7" s="3">
        <f t="shared" si="14"/>
        <v>2.5919999999999996</v>
      </c>
      <c r="AF7" s="3">
        <f t="shared" si="14"/>
        <v>3.1103999999999994</v>
      </c>
      <c r="AG7" s="3">
        <f>AF7*1.1</f>
        <v>3.4214399999999996</v>
      </c>
      <c r="AH7" s="3">
        <f t="shared" ref="AH7:AL7" si="15">AG7*1.1</f>
        <v>3.7635839999999998</v>
      </c>
      <c r="AI7" s="3">
        <f t="shared" si="15"/>
        <v>4.1399423999999998</v>
      </c>
      <c r="AJ7" s="3">
        <f t="shared" si="15"/>
        <v>4.5539366399999999</v>
      </c>
      <c r="AK7" s="3">
        <f t="shared" si="15"/>
        <v>5.0093303040000006</v>
      </c>
      <c r="AL7" s="3">
        <f t="shared" si="15"/>
        <v>5.5102633344000012</v>
      </c>
    </row>
    <row r="8" spans="2:38" s="1" customFormat="1" x14ac:dyDescent="0.3">
      <c r="B8" s="1" t="s">
        <v>25</v>
      </c>
      <c r="I8" s="8">
        <f t="shared" ref="I8:P8" si="16">I6+I7</f>
        <v>85.399999999999991</v>
      </c>
      <c r="J8" s="8">
        <f t="shared" si="16"/>
        <v>96.399999999999991</v>
      </c>
      <c r="K8" s="8">
        <f t="shared" si="16"/>
        <v>87.1</v>
      </c>
      <c r="L8" s="8">
        <f t="shared" si="16"/>
        <v>94.299999999999983</v>
      </c>
      <c r="M8" s="8">
        <f t="shared" si="16"/>
        <v>102.6</v>
      </c>
      <c r="N8" s="8">
        <f t="shared" si="16"/>
        <v>113.5</v>
      </c>
      <c r="O8" s="8">
        <f t="shared" si="16"/>
        <v>102.1</v>
      </c>
      <c r="P8" s="8">
        <f t="shared" si="16"/>
        <v>110.99999999999999</v>
      </c>
      <c r="Q8" s="8">
        <f t="shared" ref="Q8:V8" si="17">Q6+Q7</f>
        <v>123.89999999999999</v>
      </c>
      <c r="R8" s="8">
        <f t="shared" si="17"/>
        <v>145.89999999999998</v>
      </c>
      <c r="S8" s="8">
        <f t="shared" si="17"/>
        <v>142.69999999999999</v>
      </c>
      <c r="T8" s="8">
        <f t="shared" si="17"/>
        <v>145.19499999999999</v>
      </c>
      <c r="U8" s="8">
        <f t="shared" si="17"/>
        <v>147.607</v>
      </c>
      <c r="V8" s="8">
        <f t="shared" si="17"/>
        <v>153.73699999999999</v>
      </c>
      <c r="X8" s="8">
        <f>X6+X7</f>
        <v>251.5</v>
      </c>
      <c r="Y8" s="8">
        <f>Y6+Y7</f>
        <v>331.5</v>
      </c>
      <c r="Z8" s="8">
        <f>Z6+Z7</f>
        <v>397.49999999999994</v>
      </c>
      <c r="AA8" s="8">
        <f>AA6+AA7</f>
        <v>482.9</v>
      </c>
      <c r="AB8" s="8">
        <f>AB6+AB7</f>
        <v>589.23899999999992</v>
      </c>
      <c r="AC8" s="8">
        <f t="shared" ref="AC8:AL8" si="18">AC6+AC7</f>
        <v>668.80016000000001</v>
      </c>
      <c r="AD8" s="8">
        <f t="shared" si="18"/>
        <v>732.64361120000012</v>
      </c>
      <c r="AE8" s="8">
        <f t="shared" si="18"/>
        <v>770.44756635200008</v>
      </c>
      <c r="AF8" s="8">
        <f t="shared" si="18"/>
        <v>797.24634009568013</v>
      </c>
      <c r="AG8" s="8">
        <f t="shared" si="18"/>
        <v>819.12019535424645</v>
      </c>
      <c r="AH8" s="8">
        <f t="shared" si="18"/>
        <v>835.77631446133148</v>
      </c>
      <c r="AI8" s="8">
        <f t="shared" si="18"/>
        <v>852.79292747055808</v>
      </c>
      <c r="AJ8" s="8">
        <f t="shared" si="18"/>
        <v>870.17998141196927</v>
      </c>
      <c r="AK8" s="8">
        <f t="shared" si="18"/>
        <v>887.94789597140857</v>
      </c>
      <c r="AL8" s="8">
        <f t="shared" si="18"/>
        <v>906.10760031515679</v>
      </c>
    </row>
    <row r="9" spans="2:38" x14ac:dyDescent="0.3">
      <c r="B9" t="s">
        <v>26</v>
      </c>
      <c r="I9" s="3">
        <v>1</v>
      </c>
      <c r="J9" s="3">
        <v>0.8</v>
      </c>
      <c r="K9" s="3">
        <v>0.8</v>
      </c>
      <c r="L9" s="3">
        <v>1.1000000000000001</v>
      </c>
      <c r="M9" s="3">
        <v>0.7</v>
      </c>
      <c r="N9" s="3">
        <v>0.5</v>
      </c>
      <c r="O9" s="3">
        <v>3.8</v>
      </c>
      <c r="P9" s="3">
        <v>1.9</v>
      </c>
      <c r="Q9" s="3">
        <v>1.8</v>
      </c>
      <c r="R9" s="3">
        <v>2.5</v>
      </c>
      <c r="S9" s="3">
        <v>2.2000000000000002</v>
      </c>
      <c r="T9" s="3">
        <f t="shared" ref="T9" si="19">T8*0.02</f>
        <v>2.9038999999999997</v>
      </c>
      <c r="U9" s="3">
        <f t="shared" ref="U9" si="20">U8*0.02</f>
        <v>2.95214</v>
      </c>
      <c r="V9" s="3">
        <f t="shared" ref="V9" si="21">V8*0.02</f>
        <v>3.0747399999999998</v>
      </c>
      <c r="X9" s="3">
        <v>4.5</v>
      </c>
      <c r="Y9" s="3">
        <v>4.0999999999999996</v>
      </c>
      <c r="Z9" s="3">
        <f>SUM(K9:N9)</f>
        <v>3.1</v>
      </c>
      <c r="AA9" s="3">
        <f t="shared" ref="AA9:AA11" si="22">SUM(O9:R9)</f>
        <v>10</v>
      </c>
      <c r="AB9" s="3">
        <f>SUM(S9:V9)</f>
        <v>11.13078</v>
      </c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2:38" x14ac:dyDescent="0.3">
      <c r="B10" t="s">
        <v>27</v>
      </c>
      <c r="I10" s="3">
        <v>0.8</v>
      </c>
      <c r="J10" s="3">
        <v>0.9</v>
      </c>
      <c r="K10" s="3">
        <v>0.9</v>
      </c>
      <c r="L10" s="3">
        <v>1.1000000000000001</v>
      </c>
      <c r="M10" s="3">
        <v>1.2</v>
      </c>
      <c r="N10" s="3">
        <v>1.1000000000000001</v>
      </c>
      <c r="O10" s="3">
        <v>1</v>
      </c>
      <c r="P10" s="3">
        <v>0.9</v>
      </c>
      <c r="Q10" s="3">
        <v>0.9</v>
      </c>
      <c r="R10" s="3">
        <v>1.1000000000000001</v>
      </c>
      <c r="S10" s="3">
        <v>0.9</v>
      </c>
      <c r="T10" s="3">
        <f t="shared" ref="T10:V10" si="23">T8*0.01</f>
        <v>1.4519499999999999</v>
      </c>
      <c r="U10" s="3">
        <f t="shared" si="23"/>
        <v>1.47607</v>
      </c>
      <c r="V10" s="3">
        <f t="shared" si="23"/>
        <v>1.5373699999999999</v>
      </c>
      <c r="X10" s="3">
        <v>3.7</v>
      </c>
      <c r="Y10" s="3">
        <v>3.8</v>
      </c>
      <c r="Z10" s="3">
        <f>SUM(K10:N10)</f>
        <v>4.3000000000000007</v>
      </c>
      <c r="AA10" s="3">
        <f t="shared" si="22"/>
        <v>3.9</v>
      </c>
      <c r="AB10" s="3">
        <f>SUM(S10:V10)</f>
        <v>5.3653899999999997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2:38" x14ac:dyDescent="0.3">
      <c r="B11" t="s">
        <v>28</v>
      </c>
      <c r="I11" s="3">
        <v>13.9</v>
      </c>
      <c r="J11" s="3">
        <v>17.3</v>
      </c>
      <c r="K11" s="3">
        <v>15.2</v>
      </c>
      <c r="L11" s="3">
        <v>20.399999999999999</v>
      </c>
      <c r="M11" s="3">
        <v>23.3</v>
      </c>
      <c r="N11" s="3">
        <v>27</v>
      </c>
      <c r="O11" s="3">
        <v>19.3</v>
      </c>
      <c r="P11" s="3">
        <v>24.9</v>
      </c>
      <c r="Q11" s="3">
        <v>30.3</v>
      </c>
      <c r="R11" s="3">
        <v>44.1</v>
      </c>
      <c r="S11" s="3">
        <v>47.5</v>
      </c>
      <c r="T11" s="3">
        <f>T8*0.33</f>
        <v>47.914349999999999</v>
      </c>
      <c r="U11" s="3">
        <f t="shared" ref="U11:V11" si="24">U8*0.33</f>
        <v>48.71031</v>
      </c>
      <c r="V11" s="3">
        <f t="shared" si="24"/>
        <v>50.73321</v>
      </c>
      <c r="X11" s="3">
        <v>5.5</v>
      </c>
      <c r="Y11" s="3">
        <v>46.7</v>
      </c>
      <c r="Z11" s="3">
        <f>SUM(K11:N11)</f>
        <v>85.899999999999991</v>
      </c>
      <c r="AA11" s="3">
        <f t="shared" si="22"/>
        <v>118.6</v>
      </c>
      <c r="AB11" s="3">
        <f>SUM(S11:V11)</f>
        <v>194.85786999999999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2:38" x14ac:dyDescent="0.3">
      <c r="B12" t="s">
        <v>29</v>
      </c>
      <c r="I12" s="3">
        <f t="shared" ref="I12:S12" si="25">I9+I10+I11</f>
        <v>15.700000000000001</v>
      </c>
      <c r="J12" s="3">
        <f t="shared" si="25"/>
        <v>19</v>
      </c>
      <c r="K12" s="3">
        <f t="shared" si="25"/>
        <v>16.899999999999999</v>
      </c>
      <c r="L12" s="3">
        <f t="shared" si="25"/>
        <v>22.599999999999998</v>
      </c>
      <c r="M12" s="3">
        <f t="shared" si="25"/>
        <v>25.2</v>
      </c>
      <c r="N12" s="3">
        <f t="shared" si="25"/>
        <v>28.6</v>
      </c>
      <c r="O12" s="3">
        <f t="shared" si="25"/>
        <v>24.1</v>
      </c>
      <c r="P12" s="3">
        <f t="shared" si="25"/>
        <v>27.7</v>
      </c>
      <c r="Q12" s="3">
        <f t="shared" si="25"/>
        <v>33</v>
      </c>
      <c r="R12" s="3">
        <f t="shared" si="25"/>
        <v>47.7</v>
      </c>
      <c r="S12" s="3">
        <f t="shared" si="25"/>
        <v>50.6</v>
      </c>
      <c r="T12" s="3">
        <f t="shared" ref="T12" si="26">T9+T10+T11</f>
        <v>52.270199999999996</v>
      </c>
      <c r="U12" s="3">
        <f t="shared" ref="U12" si="27">U9+U10+U11</f>
        <v>53.13852</v>
      </c>
      <c r="V12" s="3">
        <f t="shared" ref="V12" si="28">V9+V10+V11</f>
        <v>55.345320000000001</v>
      </c>
      <c r="X12" s="3">
        <f>X9+X10+X11</f>
        <v>13.7</v>
      </c>
      <c r="Y12" s="3">
        <f>Y9+Y10+Y11</f>
        <v>54.6</v>
      </c>
      <c r="Z12" s="3">
        <f>Z9+Z10+Z11</f>
        <v>93.3</v>
      </c>
      <c r="AA12" s="3">
        <f>SUM(O12:R12)</f>
        <v>132.5</v>
      </c>
      <c r="AB12" s="3">
        <f>AB9+AB10+AB11</f>
        <v>211.35404</v>
      </c>
      <c r="AC12" s="3">
        <f t="shared" ref="AC12:AL12" si="29">AC8-AC13</f>
        <v>247.45605920000003</v>
      </c>
      <c r="AD12" s="3">
        <f t="shared" si="29"/>
        <v>271.07813614400004</v>
      </c>
      <c r="AE12" s="3">
        <f t="shared" si="29"/>
        <v>285.06559955024005</v>
      </c>
      <c r="AF12" s="3">
        <f t="shared" si="29"/>
        <v>294.98114583540166</v>
      </c>
      <c r="AG12" s="3">
        <f t="shared" si="29"/>
        <v>303.07447228107117</v>
      </c>
      <c r="AH12" s="3">
        <f t="shared" si="29"/>
        <v>309.23723635069268</v>
      </c>
      <c r="AI12" s="3">
        <f t="shared" si="29"/>
        <v>315.53338316410645</v>
      </c>
      <c r="AJ12" s="3">
        <f t="shared" si="29"/>
        <v>321.96659312242866</v>
      </c>
      <c r="AK12" s="3">
        <f t="shared" si="29"/>
        <v>328.54072150942113</v>
      </c>
      <c r="AL12" s="3">
        <f t="shared" si="29"/>
        <v>335.25981211660803</v>
      </c>
    </row>
    <row r="13" spans="2:38" s="1" customFormat="1" x14ac:dyDescent="0.3">
      <c r="B13" s="1" t="s">
        <v>30</v>
      </c>
      <c r="I13" s="8">
        <f t="shared" ref="I13:S13" si="30">I8-I12</f>
        <v>69.699999999999989</v>
      </c>
      <c r="J13" s="8">
        <f t="shared" si="30"/>
        <v>77.399999999999991</v>
      </c>
      <c r="K13" s="8">
        <f t="shared" si="30"/>
        <v>70.199999999999989</v>
      </c>
      <c r="L13" s="8">
        <f t="shared" si="30"/>
        <v>71.699999999999989</v>
      </c>
      <c r="M13" s="8">
        <f t="shared" si="30"/>
        <v>77.399999999999991</v>
      </c>
      <c r="N13" s="8">
        <f t="shared" si="30"/>
        <v>84.9</v>
      </c>
      <c r="O13" s="8">
        <f t="shared" si="30"/>
        <v>78</v>
      </c>
      <c r="P13" s="8">
        <f t="shared" si="30"/>
        <v>83.299999999999983</v>
      </c>
      <c r="Q13" s="8">
        <f t="shared" si="30"/>
        <v>90.899999999999991</v>
      </c>
      <c r="R13" s="8">
        <f t="shared" si="30"/>
        <v>98.199999999999974</v>
      </c>
      <c r="S13" s="8">
        <f t="shared" si="30"/>
        <v>92.1</v>
      </c>
      <c r="T13" s="8">
        <f t="shared" ref="T13" si="31">T8-T12</f>
        <v>92.924800000000005</v>
      </c>
      <c r="U13" s="8">
        <f t="shared" ref="U13" si="32">U8-U12</f>
        <v>94.46848</v>
      </c>
      <c r="V13" s="8">
        <f t="shared" ref="V13" si="33">V8-V12</f>
        <v>98.391679999999994</v>
      </c>
      <c r="X13" s="8">
        <f>X8-X12</f>
        <v>237.8</v>
      </c>
      <c r="Y13" s="8">
        <f>Y8-Y12</f>
        <v>276.89999999999998</v>
      </c>
      <c r="Z13" s="8">
        <f>Z8-Z12</f>
        <v>304.19999999999993</v>
      </c>
      <c r="AA13" s="8">
        <f>AA8-AA12</f>
        <v>350.4</v>
      </c>
      <c r="AB13" s="8">
        <f>AB8-AB12</f>
        <v>377.88495999999992</v>
      </c>
      <c r="AC13" s="8">
        <f>AC8*0.63</f>
        <v>421.34410079999998</v>
      </c>
      <c r="AD13" s="8">
        <f t="shared" ref="AD13:AL13" si="34">AD8*0.63</f>
        <v>461.56547505600008</v>
      </c>
      <c r="AE13" s="8">
        <f t="shared" si="34"/>
        <v>485.38196680176003</v>
      </c>
      <c r="AF13" s="8">
        <f t="shared" si="34"/>
        <v>502.26519426027846</v>
      </c>
      <c r="AG13" s="8">
        <f t="shared" si="34"/>
        <v>516.04572307317528</v>
      </c>
      <c r="AH13" s="8">
        <f t="shared" si="34"/>
        <v>526.5390781106388</v>
      </c>
      <c r="AI13" s="8">
        <f t="shared" si="34"/>
        <v>537.25954430645163</v>
      </c>
      <c r="AJ13" s="8">
        <f t="shared" si="34"/>
        <v>548.2133882895406</v>
      </c>
      <c r="AK13" s="8">
        <f t="shared" si="34"/>
        <v>559.40717446198744</v>
      </c>
      <c r="AL13" s="8">
        <f t="shared" si="34"/>
        <v>570.84778819854876</v>
      </c>
    </row>
    <row r="14" spans="2:38" x14ac:dyDescent="0.3">
      <c r="B14" t="s">
        <v>31</v>
      </c>
      <c r="I14" s="3">
        <v>18</v>
      </c>
      <c r="J14" s="3">
        <v>21.1</v>
      </c>
      <c r="K14" s="3">
        <v>20.100000000000001</v>
      </c>
      <c r="L14" s="3">
        <v>21.4</v>
      </c>
      <c r="M14" s="3">
        <v>20.7</v>
      </c>
      <c r="N14" s="3">
        <v>20.6</v>
      </c>
      <c r="O14" s="3">
        <v>16.3</v>
      </c>
      <c r="P14" s="3">
        <v>19.8</v>
      </c>
      <c r="Q14" s="3">
        <v>23.2</v>
      </c>
      <c r="R14" s="3">
        <v>17.8</v>
      </c>
      <c r="S14" s="3">
        <v>17.600000000000001</v>
      </c>
      <c r="T14" s="3">
        <f>P14*0.9</f>
        <v>17.82</v>
      </c>
      <c r="U14" s="3">
        <f>Q14*0.8</f>
        <v>18.559999999999999</v>
      </c>
      <c r="V14" s="3">
        <f>R14*1.05</f>
        <v>18.690000000000001</v>
      </c>
      <c r="X14" s="3">
        <v>74.5</v>
      </c>
      <c r="Y14" s="3">
        <v>74.599999999999994</v>
      </c>
      <c r="Z14" s="3">
        <f>SUM(K14:N14)</f>
        <v>82.800000000000011</v>
      </c>
      <c r="AA14" s="3">
        <f>SUM(O14:R14)</f>
        <v>77.099999999999994</v>
      </c>
      <c r="AB14" s="3">
        <f>SUM(S14:V14)</f>
        <v>72.67</v>
      </c>
      <c r="AC14" s="3">
        <f>AB14*1.08</f>
        <v>78.48360000000001</v>
      </c>
      <c r="AD14" s="3">
        <f>AC14*1.05</f>
        <v>82.407780000000017</v>
      </c>
      <c r="AE14" s="3">
        <f>AD14*1.04</f>
        <v>85.704091200000022</v>
      </c>
      <c r="AF14" s="3">
        <f>AE14*1.03</f>
        <v>88.275213936000029</v>
      </c>
      <c r="AG14" s="3">
        <f>AF14*1.03</f>
        <v>90.923470354080038</v>
      </c>
      <c r="AH14" s="3">
        <f t="shared" ref="AH14:AL14" si="35">AG14*1.01</f>
        <v>91.832705057620842</v>
      </c>
      <c r="AI14" s="3">
        <f t="shared" si="35"/>
        <v>92.751032108197052</v>
      </c>
      <c r="AJ14" s="3">
        <f t="shared" si="35"/>
        <v>93.67854242927902</v>
      </c>
      <c r="AK14" s="3">
        <f t="shared" si="35"/>
        <v>94.615327853571813</v>
      </c>
      <c r="AL14" s="3">
        <f t="shared" si="35"/>
        <v>95.561481132107531</v>
      </c>
    </row>
    <row r="15" spans="2:38" x14ac:dyDescent="0.3">
      <c r="B15" t="s">
        <v>75</v>
      </c>
      <c r="I15" s="3"/>
      <c r="J15" s="3"/>
      <c r="K15" s="3"/>
      <c r="L15" s="3"/>
      <c r="M15" s="3"/>
      <c r="N15" s="3"/>
      <c r="O15" s="3">
        <v>2.6</v>
      </c>
      <c r="P15" s="3"/>
      <c r="Q15" s="3"/>
      <c r="R15" s="3"/>
      <c r="S15" s="3">
        <v>6</v>
      </c>
      <c r="T15" s="3"/>
      <c r="U15" s="3"/>
      <c r="V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2:38" x14ac:dyDescent="0.3">
      <c r="B16" t="s">
        <v>32</v>
      </c>
      <c r="I16" s="3">
        <v>26</v>
      </c>
      <c r="J16" s="3">
        <v>29.6</v>
      </c>
      <c r="K16" s="3">
        <v>24.4</v>
      </c>
      <c r="L16" s="3">
        <v>27</v>
      </c>
      <c r="M16" s="3">
        <v>28.4</v>
      </c>
      <c r="N16" s="3">
        <v>30.1</v>
      </c>
      <c r="O16" s="3">
        <v>29.5</v>
      </c>
      <c r="P16" s="3">
        <v>29</v>
      </c>
      <c r="Q16" s="3">
        <v>32.5</v>
      </c>
      <c r="R16" s="3">
        <v>40.9</v>
      </c>
      <c r="S16" s="3">
        <v>34.200000000000003</v>
      </c>
      <c r="T16" s="3">
        <f>T8*0.24</f>
        <v>34.846799999999995</v>
      </c>
      <c r="U16" s="3">
        <f t="shared" ref="U16:V16" si="36">U8*0.24</f>
        <v>35.42568</v>
      </c>
      <c r="V16" s="3">
        <f t="shared" si="36"/>
        <v>36.896879999999996</v>
      </c>
      <c r="X16" s="3">
        <v>120.9</v>
      </c>
      <c r="Y16" s="3">
        <v>115</v>
      </c>
      <c r="Z16" s="3">
        <f>SUM(K16:N16)</f>
        <v>109.9</v>
      </c>
      <c r="AA16" s="3">
        <f>SUM(O16:R16)</f>
        <v>131.9</v>
      </c>
      <c r="AB16" s="3">
        <f>SUM(S16:V16)</f>
        <v>141.36935999999997</v>
      </c>
      <c r="AC16" s="3">
        <f>AC8*0.23</f>
        <v>153.82403680000002</v>
      </c>
      <c r="AD16" s="3">
        <f>AD8*0.22</f>
        <v>161.18159446400003</v>
      </c>
      <c r="AE16" s="3">
        <f t="shared" ref="AE16:AL16" si="37">AE8*0.22</f>
        <v>169.49846459744001</v>
      </c>
      <c r="AF16" s="3">
        <f t="shared" si="37"/>
        <v>175.39419482104964</v>
      </c>
      <c r="AG16" s="3">
        <f t="shared" si="37"/>
        <v>180.20644297793422</v>
      </c>
      <c r="AH16" s="3">
        <f t="shared" si="37"/>
        <v>183.87078918149294</v>
      </c>
      <c r="AI16" s="3">
        <f t="shared" si="37"/>
        <v>187.61444404352278</v>
      </c>
      <c r="AJ16" s="3">
        <f t="shared" si="37"/>
        <v>191.43959591063324</v>
      </c>
      <c r="AK16" s="3">
        <f t="shared" si="37"/>
        <v>195.34853711370988</v>
      </c>
      <c r="AL16" s="3">
        <f t="shared" si="37"/>
        <v>199.3436720693345</v>
      </c>
    </row>
    <row r="17" spans="2:144" x14ac:dyDescent="0.3">
      <c r="B17" t="s">
        <v>35</v>
      </c>
      <c r="I17" s="3">
        <v>0.3</v>
      </c>
      <c r="J17" s="3">
        <v>1</v>
      </c>
      <c r="K17" s="3">
        <v>2.4</v>
      </c>
      <c r="L17" s="3">
        <v>0.1</v>
      </c>
      <c r="M17" s="3">
        <v>0.2</v>
      </c>
      <c r="N17" s="3">
        <v>1.3</v>
      </c>
      <c r="O17" s="3">
        <v>-0.1</v>
      </c>
      <c r="P17" s="3">
        <v>-0.1</v>
      </c>
      <c r="Q17" s="3">
        <v>-0.1</v>
      </c>
      <c r="R17" s="3">
        <v>-0.5</v>
      </c>
      <c r="S17" s="3">
        <v>0.2</v>
      </c>
      <c r="T17" s="3">
        <v>0</v>
      </c>
      <c r="U17" s="3">
        <v>0</v>
      </c>
      <c r="V17" s="3">
        <v>0</v>
      </c>
      <c r="X17" s="3">
        <v>0.6</v>
      </c>
      <c r="Y17" s="3">
        <v>1.4</v>
      </c>
      <c r="Z17" s="3">
        <f>SUM(K17:N17)</f>
        <v>4</v>
      </c>
      <c r="AA17" s="3">
        <f>SUM(O17:R17)</f>
        <v>-0.8</v>
      </c>
      <c r="AB17" s="3">
        <f>SUM(S17:V17)</f>
        <v>0.2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</row>
    <row r="18" spans="2:144" x14ac:dyDescent="0.3">
      <c r="B18" t="s">
        <v>33</v>
      </c>
      <c r="I18" s="3">
        <v>3.4</v>
      </c>
      <c r="J18" s="3">
        <v>3.5</v>
      </c>
      <c r="K18" s="3">
        <v>3.4</v>
      </c>
      <c r="L18" s="3">
        <v>3.4</v>
      </c>
      <c r="M18" s="3">
        <v>3.2</v>
      </c>
      <c r="N18" s="3">
        <v>3.2</v>
      </c>
      <c r="O18" s="3">
        <v>3.1</v>
      </c>
      <c r="P18" s="3">
        <v>4</v>
      </c>
      <c r="Q18" s="3">
        <v>4.0999999999999996</v>
      </c>
      <c r="R18" s="3">
        <v>4.4000000000000004</v>
      </c>
      <c r="S18" s="3">
        <v>4.4000000000000004</v>
      </c>
      <c r="T18" s="3">
        <v>4</v>
      </c>
      <c r="U18" s="3">
        <v>5</v>
      </c>
      <c r="V18" s="3">
        <v>5</v>
      </c>
      <c r="X18" s="3">
        <v>19.600000000000001</v>
      </c>
      <c r="Y18" s="3">
        <v>13.9</v>
      </c>
      <c r="Z18" s="3">
        <f>SUM(K18:N18)</f>
        <v>13.2</v>
      </c>
      <c r="AA18" s="3">
        <f>SUM(O18:R18)</f>
        <v>15.6</v>
      </c>
      <c r="AB18" s="3">
        <f>SUM(S18:V18)</f>
        <v>18.399999999999999</v>
      </c>
      <c r="AC18" s="3">
        <f t="shared" ref="AC18:AL18" si="38">AB18*1.01</f>
        <v>18.584</v>
      </c>
      <c r="AD18" s="3">
        <f t="shared" si="38"/>
        <v>18.769839999999999</v>
      </c>
      <c r="AE18" s="3">
        <f t="shared" si="38"/>
        <v>18.957538399999997</v>
      </c>
      <c r="AF18" s="3">
        <f t="shared" si="38"/>
        <v>19.147113783999998</v>
      </c>
      <c r="AG18" s="3">
        <f t="shared" si="38"/>
        <v>19.338584921839999</v>
      </c>
      <c r="AH18" s="3">
        <f t="shared" si="38"/>
        <v>19.531970771058401</v>
      </c>
      <c r="AI18" s="3">
        <f t="shared" si="38"/>
        <v>19.727290478768985</v>
      </c>
      <c r="AJ18" s="3">
        <f t="shared" si="38"/>
        <v>19.924563383556677</v>
      </c>
      <c r="AK18" s="3">
        <f t="shared" si="38"/>
        <v>20.123809017392244</v>
      </c>
      <c r="AL18" s="3">
        <f t="shared" si="38"/>
        <v>20.325047107566167</v>
      </c>
    </row>
    <row r="19" spans="2:144" x14ac:dyDescent="0.3">
      <c r="B19" t="s">
        <v>74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>
        <v>0.7</v>
      </c>
      <c r="T19" s="3"/>
      <c r="U19" s="3"/>
      <c r="V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2:144" x14ac:dyDescent="0.3">
      <c r="B20" t="s">
        <v>34</v>
      </c>
      <c r="I20" s="3">
        <v>5.8</v>
      </c>
      <c r="J20" s="3">
        <f>3.2+0.3+7</f>
        <v>10.5</v>
      </c>
      <c r="K20" s="3">
        <v>6.1</v>
      </c>
      <c r="L20" s="3">
        <v>7.3</v>
      </c>
      <c r="M20" s="3">
        <f>0.6+0.7+7.6</f>
        <v>8.8999999999999986</v>
      </c>
      <c r="N20" s="3">
        <f>0.1+9.2</f>
        <v>9.2999999999999989</v>
      </c>
      <c r="O20" s="3">
        <v>7.2</v>
      </c>
      <c r="P20" s="3">
        <v>8.6999999999999993</v>
      </c>
      <c r="Q20" s="3">
        <v>7.8</v>
      </c>
      <c r="R20" s="3">
        <f>0.1+8</f>
        <v>8.1</v>
      </c>
      <c r="S20" s="3">
        <v>7.8</v>
      </c>
      <c r="T20" s="3">
        <v>8</v>
      </c>
      <c r="U20" s="3">
        <v>9</v>
      </c>
      <c r="V20" s="3">
        <v>10</v>
      </c>
      <c r="X20" s="3">
        <f>5.6+22.8</f>
        <v>28.4</v>
      </c>
      <c r="Y20" s="3">
        <f>3.2+1.5+26.7</f>
        <v>31.4</v>
      </c>
      <c r="Z20" s="3">
        <f>SUM(K20:N20)</f>
        <v>31.599999999999994</v>
      </c>
      <c r="AA20" s="3">
        <f>SUM(O20:R20)</f>
        <v>31.799999999999997</v>
      </c>
      <c r="AB20" s="3">
        <f>SUM(S20:V20)</f>
        <v>34.799999999999997</v>
      </c>
      <c r="AC20" s="3">
        <f t="shared" ref="AC20:AL20" si="39">AB20*1.01</f>
        <v>35.147999999999996</v>
      </c>
      <c r="AD20" s="3">
        <f t="shared" si="39"/>
        <v>35.499479999999998</v>
      </c>
      <c r="AE20" s="3">
        <f t="shared" si="39"/>
        <v>35.854474799999998</v>
      </c>
      <c r="AF20" s="3">
        <f t="shared" si="39"/>
        <v>36.213019547999998</v>
      </c>
      <c r="AG20" s="3">
        <f t="shared" si="39"/>
        <v>36.575149743479997</v>
      </c>
      <c r="AH20" s="3">
        <f t="shared" si="39"/>
        <v>36.940901240914798</v>
      </c>
      <c r="AI20" s="3">
        <f t="shared" si="39"/>
        <v>37.310310253323948</v>
      </c>
      <c r="AJ20" s="3">
        <f t="shared" si="39"/>
        <v>37.683413355857191</v>
      </c>
      <c r="AK20" s="3">
        <f t="shared" si="39"/>
        <v>38.060247489415765</v>
      </c>
      <c r="AL20" s="3">
        <f t="shared" si="39"/>
        <v>38.440849964309926</v>
      </c>
    </row>
    <row r="21" spans="2:144" x14ac:dyDescent="0.3">
      <c r="B21" t="s">
        <v>36</v>
      </c>
      <c r="I21" s="3">
        <f t="shared" ref="I21:P21" si="40">SUM(I14:I20)</f>
        <v>53.499999999999993</v>
      </c>
      <c r="J21" s="3">
        <f t="shared" si="40"/>
        <v>65.7</v>
      </c>
      <c r="K21" s="3">
        <f t="shared" si="40"/>
        <v>56.4</v>
      </c>
      <c r="L21" s="3">
        <f t="shared" si="40"/>
        <v>59.199999999999996</v>
      </c>
      <c r="M21" s="3">
        <f t="shared" si="40"/>
        <v>61.4</v>
      </c>
      <c r="N21" s="3">
        <f t="shared" si="40"/>
        <v>64.5</v>
      </c>
      <c r="O21" s="3">
        <f t="shared" si="40"/>
        <v>58.600000000000009</v>
      </c>
      <c r="P21" s="3">
        <f t="shared" si="40"/>
        <v>61.399999999999991</v>
      </c>
      <c r="Q21" s="3">
        <f t="shared" ref="Q21:R21" si="41">SUM(Q14:Q20)</f>
        <v>67.5</v>
      </c>
      <c r="R21" s="3">
        <f t="shared" si="41"/>
        <v>70.7</v>
      </c>
      <c r="S21" s="3">
        <f t="shared" ref="S21:V21" si="42">SUM(S14:S20)</f>
        <v>70.900000000000006</v>
      </c>
      <c r="T21" s="3">
        <f t="shared" si="42"/>
        <v>64.666799999999995</v>
      </c>
      <c r="U21" s="3">
        <f t="shared" si="42"/>
        <v>67.985680000000002</v>
      </c>
      <c r="V21" s="3">
        <f t="shared" si="42"/>
        <v>70.586879999999994</v>
      </c>
      <c r="X21" s="3">
        <f>SUM(X14:X20)</f>
        <v>244</v>
      </c>
      <c r="Y21" s="3">
        <f>SUM(Y14:Y20)</f>
        <v>236.3</v>
      </c>
      <c r="Z21" s="3">
        <f>SUM(Z14:Z20)</f>
        <v>241.5</v>
      </c>
      <c r="AA21" s="3">
        <f>SUM(AA14:AA20)</f>
        <v>255.59999999999997</v>
      </c>
      <c r="AB21" s="3">
        <f>SUM(AB14:AB20)</f>
        <v>267.43935999999997</v>
      </c>
      <c r="AC21" s="3">
        <f t="shared" ref="AC21:AL21" si="43">SUM(AC14:AC20)</f>
        <v>286.03963680000004</v>
      </c>
      <c r="AD21" s="3">
        <f t="shared" si="43"/>
        <v>297.85869446400005</v>
      </c>
      <c r="AE21" s="3">
        <f t="shared" si="43"/>
        <v>310.01456899743999</v>
      </c>
      <c r="AF21" s="3">
        <f t="shared" si="43"/>
        <v>319.02954208904964</v>
      </c>
      <c r="AG21" s="3">
        <f t="shared" si="43"/>
        <v>327.04364799733423</v>
      </c>
      <c r="AH21" s="3">
        <f t="shared" si="43"/>
        <v>332.17636625108696</v>
      </c>
      <c r="AI21" s="3">
        <f t="shared" si="43"/>
        <v>337.40307688381273</v>
      </c>
      <c r="AJ21" s="3">
        <f t="shared" si="43"/>
        <v>342.72611507932612</v>
      </c>
      <c r="AK21" s="3">
        <f t="shared" si="43"/>
        <v>348.14792147408969</v>
      </c>
      <c r="AL21" s="3">
        <f t="shared" si="43"/>
        <v>353.67105027331809</v>
      </c>
    </row>
    <row r="22" spans="2:144" s="1" customFormat="1" x14ac:dyDescent="0.3">
      <c r="B22" s="1" t="s">
        <v>37</v>
      </c>
      <c r="I22" s="8">
        <f t="shared" ref="I22:P22" si="44">I13-I21</f>
        <v>16.199999999999996</v>
      </c>
      <c r="J22" s="8">
        <f t="shared" si="44"/>
        <v>11.699999999999989</v>
      </c>
      <c r="K22" s="8">
        <f t="shared" si="44"/>
        <v>13.79999999999999</v>
      </c>
      <c r="L22" s="8">
        <f t="shared" si="44"/>
        <v>12.499999999999993</v>
      </c>
      <c r="M22" s="8">
        <f t="shared" si="44"/>
        <v>15.999999999999993</v>
      </c>
      <c r="N22" s="8">
        <f t="shared" si="44"/>
        <v>20.400000000000006</v>
      </c>
      <c r="O22" s="8">
        <f t="shared" si="44"/>
        <v>19.399999999999991</v>
      </c>
      <c r="P22" s="8">
        <f t="shared" si="44"/>
        <v>21.899999999999991</v>
      </c>
      <c r="Q22" s="8">
        <f t="shared" ref="Q22:R22" si="45">Q13-Q21</f>
        <v>23.399999999999991</v>
      </c>
      <c r="R22" s="8">
        <f t="shared" si="45"/>
        <v>27.499999999999972</v>
      </c>
      <c r="S22" s="8">
        <f t="shared" ref="S22:V22" si="46">S13-S21</f>
        <v>21.199999999999989</v>
      </c>
      <c r="T22" s="8">
        <f t="shared" si="46"/>
        <v>28.25800000000001</v>
      </c>
      <c r="U22" s="8">
        <f t="shared" si="46"/>
        <v>26.482799999999997</v>
      </c>
      <c r="V22" s="8">
        <f t="shared" si="46"/>
        <v>27.8048</v>
      </c>
      <c r="X22" s="8">
        <f>X13-X21</f>
        <v>-6.1999999999999886</v>
      </c>
      <c r="Y22" s="8">
        <f>Y13-Y21</f>
        <v>40.599999999999966</v>
      </c>
      <c r="Z22" s="8">
        <f>Z13-Z21</f>
        <v>62.699999999999932</v>
      </c>
      <c r="AA22" s="8">
        <f>AA13-AA21</f>
        <v>94.800000000000011</v>
      </c>
      <c r="AB22" s="8">
        <f>AB13-AB21</f>
        <v>110.44559999999996</v>
      </c>
      <c r="AC22" s="8">
        <f t="shared" ref="AC22:AL22" si="47">AC13-AC21</f>
        <v>135.30446399999994</v>
      </c>
      <c r="AD22" s="8">
        <f t="shared" si="47"/>
        <v>163.70678059200003</v>
      </c>
      <c r="AE22" s="8">
        <f t="shared" si="47"/>
        <v>175.36739780432003</v>
      </c>
      <c r="AF22" s="8">
        <f t="shared" si="47"/>
        <v>183.23565217122882</v>
      </c>
      <c r="AG22" s="8">
        <f t="shared" si="47"/>
        <v>189.00207507584105</v>
      </c>
      <c r="AH22" s="8">
        <f t="shared" si="47"/>
        <v>194.36271185955184</v>
      </c>
      <c r="AI22" s="8">
        <f t="shared" si="47"/>
        <v>199.8564674226389</v>
      </c>
      <c r="AJ22" s="8">
        <f t="shared" si="47"/>
        <v>205.48727321021448</v>
      </c>
      <c r="AK22" s="8">
        <f t="shared" si="47"/>
        <v>211.25925298789775</v>
      </c>
      <c r="AL22" s="8">
        <f t="shared" si="47"/>
        <v>217.17673792523067</v>
      </c>
    </row>
    <row r="23" spans="2:144" x14ac:dyDescent="0.3">
      <c r="B23" t="s">
        <v>38</v>
      </c>
      <c r="I23" s="3">
        <v>-2.5</v>
      </c>
      <c r="J23" s="3">
        <f>-1.5-43.6</f>
        <v>-45.1</v>
      </c>
      <c r="K23" s="3">
        <v>-5.4</v>
      </c>
      <c r="L23" s="3">
        <v>-1.4</v>
      </c>
      <c r="M23" s="3">
        <v>-1.2</v>
      </c>
      <c r="N23" s="3">
        <f>-89.8-1</f>
        <v>-90.8</v>
      </c>
      <c r="O23" s="3">
        <v>-0.9</v>
      </c>
      <c r="P23" s="3">
        <v>-0.9</v>
      </c>
      <c r="Q23" s="3">
        <v>-0.8</v>
      </c>
      <c r="R23" s="3">
        <f>-5-1</f>
        <v>-6</v>
      </c>
      <c r="S23" s="3">
        <v>-0.7</v>
      </c>
      <c r="T23" s="3">
        <v>-2</v>
      </c>
      <c r="U23" s="3">
        <v>-2</v>
      </c>
      <c r="V23" s="3">
        <v>-2</v>
      </c>
      <c r="X23" s="3">
        <f>29.4+115.4-116.6-0.1</f>
        <v>28.100000000000016</v>
      </c>
      <c r="Y23" s="3">
        <f>-1.5-21.5</f>
        <v>-23</v>
      </c>
      <c r="Z23" s="3">
        <f>SUM(K23:N23)</f>
        <v>-98.8</v>
      </c>
      <c r="AA23" s="3">
        <f>SUM(O23:R23)</f>
        <v>-8.6</v>
      </c>
      <c r="AB23" s="3">
        <f>SUM(S23:V23)</f>
        <v>-6.7</v>
      </c>
      <c r="AC23" s="3">
        <f>AB23*1.01</f>
        <v>-6.7670000000000003</v>
      </c>
      <c r="AD23" s="3">
        <f t="shared" ref="AD23:AL23" si="48">AC23*1.01</f>
        <v>-6.83467</v>
      </c>
      <c r="AE23" s="3">
        <f t="shared" si="48"/>
        <v>-6.9030167000000002</v>
      </c>
      <c r="AF23" s="3">
        <f t="shared" si="48"/>
        <v>-6.9720468670000004</v>
      </c>
      <c r="AG23" s="3">
        <f t="shared" si="48"/>
        <v>-7.0417673356700003</v>
      </c>
      <c r="AH23" s="3">
        <f t="shared" si="48"/>
        <v>-7.1121850090267005</v>
      </c>
      <c r="AI23" s="3">
        <f t="shared" si="48"/>
        <v>-7.1833068591169678</v>
      </c>
      <c r="AJ23" s="3">
        <f t="shared" si="48"/>
        <v>-7.2551399277081376</v>
      </c>
      <c r="AK23" s="3">
        <f t="shared" si="48"/>
        <v>-7.3276913269852191</v>
      </c>
      <c r="AL23" s="3">
        <f t="shared" si="48"/>
        <v>-7.4009682402550716</v>
      </c>
    </row>
    <row r="24" spans="2:144" x14ac:dyDescent="0.3">
      <c r="B24" t="s">
        <v>39</v>
      </c>
      <c r="I24" s="3">
        <v>4.7</v>
      </c>
      <c r="J24" s="3">
        <v>35.6</v>
      </c>
      <c r="K24" s="3">
        <v>0.4</v>
      </c>
      <c r="L24" s="3">
        <v>0.1</v>
      </c>
      <c r="M24" s="3">
        <v>0.1</v>
      </c>
      <c r="N24" s="3">
        <v>0.1</v>
      </c>
      <c r="O24" s="3">
        <v>0.1</v>
      </c>
      <c r="P24" s="3">
        <v>0.2</v>
      </c>
      <c r="Q24" s="3">
        <v>0.1</v>
      </c>
      <c r="R24" s="3">
        <v>0.2</v>
      </c>
      <c r="S24" s="3">
        <v>0.1</v>
      </c>
      <c r="T24" s="3">
        <v>0</v>
      </c>
      <c r="U24" s="3">
        <v>0</v>
      </c>
      <c r="V24" s="3">
        <v>0</v>
      </c>
      <c r="X24" s="3">
        <v>6.9</v>
      </c>
      <c r="Y24" s="3">
        <v>38.5</v>
      </c>
      <c r="Z24" s="3">
        <f>SUM(K24:N24)</f>
        <v>0.7</v>
      </c>
      <c r="AA24" s="3">
        <f>SUM(O24:R24)</f>
        <v>0.60000000000000009</v>
      </c>
      <c r="AB24" s="3">
        <f>SUM(S24:V24)</f>
        <v>0.1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</row>
    <row r="25" spans="2:144" x14ac:dyDescent="0.3">
      <c r="B25" t="s">
        <v>40</v>
      </c>
      <c r="I25" s="3">
        <v>-0.6</v>
      </c>
      <c r="J25" s="3">
        <v>1.1000000000000001</v>
      </c>
      <c r="K25" s="3">
        <v>0.2</v>
      </c>
      <c r="L25" s="3">
        <v>-0.9</v>
      </c>
      <c r="M25" s="3">
        <v>0.1</v>
      </c>
      <c r="N25" s="3">
        <v>1.6</v>
      </c>
      <c r="O25" s="3">
        <v>0.8</v>
      </c>
      <c r="P25" s="3">
        <v>0.6</v>
      </c>
      <c r="Q25" s="3">
        <v>1.1000000000000001</v>
      </c>
      <c r="R25" s="3">
        <v>-0.6</v>
      </c>
      <c r="S25" s="3">
        <v>0.8</v>
      </c>
      <c r="T25" s="3">
        <v>1</v>
      </c>
      <c r="U25" s="3">
        <v>1</v>
      </c>
      <c r="V25" s="3">
        <v>1</v>
      </c>
      <c r="X25" s="3">
        <v>1.8</v>
      </c>
      <c r="Y25" s="3">
        <v>1.2</v>
      </c>
      <c r="Z25" s="3">
        <f>SUM(K25:N25)</f>
        <v>1</v>
      </c>
      <c r="AA25" s="3">
        <f>SUM(O25:R25)</f>
        <v>1.9</v>
      </c>
      <c r="AB25" s="3">
        <f>SUM(S25:V25)</f>
        <v>3.8</v>
      </c>
      <c r="AC25" s="3">
        <f>AB25*1.01</f>
        <v>3.8379999999999996</v>
      </c>
      <c r="AD25" s="3">
        <f t="shared" ref="AD25:AL25" si="49">AC25*1.01</f>
        <v>3.8763799999999997</v>
      </c>
      <c r="AE25" s="3">
        <f t="shared" si="49"/>
        <v>3.9151437999999996</v>
      </c>
      <c r="AF25" s="3">
        <f t="shared" si="49"/>
        <v>3.9542952379999998</v>
      </c>
      <c r="AG25" s="3">
        <f t="shared" si="49"/>
        <v>3.99383819038</v>
      </c>
      <c r="AH25" s="3">
        <f t="shared" si="49"/>
        <v>4.0337765722838004</v>
      </c>
      <c r="AI25" s="3">
        <f t="shared" si="49"/>
        <v>4.0741143380066385</v>
      </c>
      <c r="AJ25" s="3">
        <f t="shared" si="49"/>
        <v>4.1148554813867051</v>
      </c>
      <c r="AK25" s="3">
        <f t="shared" si="49"/>
        <v>4.1560040362005726</v>
      </c>
      <c r="AL25" s="3">
        <f t="shared" si="49"/>
        <v>4.1975640765625784</v>
      </c>
    </row>
    <row r="26" spans="2:144" x14ac:dyDescent="0.3">
      <c r="B26" t="s">
        <v>41</v>
      </c>
      <c r="I26" s="3">
        <f t="shared" ref="I26:P26" si="50">SUM(I23:I25)</f>
        <v>1.6</v>
      </c>
      <c r="J26" s="3">
        <f t="shared" si="50"/>
        <v>-8.4</v>
      </c>
      <c r="K26" s="3">
        <f t="shared" si="50"/>
        <v>-4.8</v>
      </c>
      <c r="L26" s="3">
        <f t="shared" si="50"/>
        <v>-2.1999999999999997</v>
      </c>
      <c r="M26" s="3">
        <f t="shared" si="50"/>
        <v>-0.99999999999999989</v>
      </c>
      <c r="N26" s="3">
        <f t="shared" si="50"/>
        <v>-89.100000000000009</v>
      </c>
      <c r="O26" s="3">
        <f t="shared" si="50"/>
        <v>0</v>
      </c>
      <c r="P26" s="3">
        <f t="shared" si="50"/>
        <v>-9.9999999999999978E-2</v>
      </c>
      <c r="Q26" s="3">
        <f t="shared" ref="Q26:R26" si="51">SUM(Q23:Q25)</f>
        <v>0.4</v>
      </c>
      <c r="R26" s="3">
        <f t="shared" si="51"/>
        <v>-6.3999999999999995</v>
      </c>
      <c r="S26" s="3">
        <f t="shared" ref="S26:V26" si="52">SUM(S23:S25)</f>
        <v>0.20000000000000007</v>
      </c>
      <c r="T26" s="3">
        <f t="shared" si="52"/>
        <v>-1</v>
      </c>
      <c r="U26" s="3">
        <f t="shared" si="52"/>
        <v>-1</v>
      </c>
      <c r="V26" s="3">
        <f t="shared" si="52"/>
        <v>-1</v>
      </c>
      <c r="X26" s="3">
        <f>SUM(X23:X25)</f>
        <v>36.800000000000011</v>
      </c>
      <c r="Y26" s="3">
        <f>SUM(Y23:Y25)</f>
        <v>16.7</v>
      </c>
      <c r="Z26" s="3">
        <f>SUM(Z23:Z25)</f>
        <v>-97.1</v>
      </c>
      <c r="AA26" s="3">
        <f>SUM(AA23:AA25)</f>
        <v>-6.1</v>
      </c>
      <c r="AB26" s="3">
        <f>SUM(AB23:AB25)</f>
        <v>-2.8000000000000007</v>
      </c>
      <c r="AC26" s="3">
        <f t="shared" ref="AC26:AL26" si="53">SUM(AC23:AC25)</f>
        <v>-2.9290000000000007</v>
      </c>
      <c r="AD26" s="3">
        <f t="shared" si="53"/>
        <v>-2.9582900000000003</v>
      </c>
      <c r="AE26" s="3">
        <f t="shared" si="53"/>
        <v>-2.9878729000000006</v>
      </c>
      <c r="AF26" s="3">
        <f t="shared" si="53"/>
        <v>-3.0177516290000006</v>
      </c>
      <c r="AG26" s="3">
        <f t="shared" si="53"/>
        <v>-3.0479291452900004</v>
      </c>
      <c r="AH26" s="3">
        <f t="shared" si="53"/>
        <v>-3.0784084367429001</v>
      </c>
      <c r="AI26" s="3">
        <f t="shared" si="53"/>
        <v>-3.1091925211103293</v>
      </c>
      <c r="AJ26" s="3">
        <f t="shared" si="53"/>
        <v>-3.1402844463214326</v>
      </c>
      <c r="AK26" s="3">
        <f t="shared" si="53"/>
        <v>-3.1716872907846465</v>
      </c>
      <c r="AL26" s="3">
        <f t="shared" si="53"/>
        <v>-3.2034041636924933</v>
      </c>
    </row>
    <row r="27" spans="2:144" s="1" customFormat="1" x14ac:dyDescent="0.3">
      <c r="B27" s="1" t="s">
        <v>45</v>
      </c>
      <c r="I27" s="8">
        <f t="shared" ref="I27:P27" si="54">I22-I26</f>
        <v>14.599999999999996</v>
      </c>
      <c r="J27" s="8">
        <f t="shared" si="54"/>
        <v>20.099999999999987</v>
      </c>
      <c r="K27" s="8">
        <f t="shared" si="54"/>
        <v>18.599999999999991</v>
      </c>
      <c r="L27" s="8">
        <f t="shared" si="54"/>
        <v>14.699999999999992</v>
      </c>
      <c r="M27" s="8">
        <f t="shared" si="54"/>
        <v>16.999999999999993</v>
      </c>
      <c r="N27" s="8">
        <f t="shared" si="54"/>
        <v>109.50000000000001</v>
      </c>
      <c r="O27" s="8">
        <f t="shared" si="54"/>
        <v>19.399999999999991</v>
      </c>
      <c r="P27" s="8">
        <f t="shared" si="54"/>
        <v>21.999999999999993</v>
      </c>
      <c r="Q27" s="8">
        <f t="shared" ref="Q27:R27" si="55">Q22-Q26</f>
        <v>22.999999999999993</v>
      </c>
      <c r="R27" s="8">
        <f t="shared" si="55"/>
        <v>33.89999999999997</v>
      </c>
      <c r="S27" s="8">
        <f t="shared" ref="S27:V27" si="56">S22-S26</f>
        <v>20.999999999999989</v>
      </c>
      <c r="T27" s="8">
        <f t="shared" si="56"/>
        <v>29.25800000000001</v>
      </c>
      <c r="U27" s="8">
        <f t="shared" si="56"/>
        <v>27.482799999999997</v>
      </c>
      <c r="V27" s="8">
        <f t="shared" si="56"/>
        <v>28.8048</v>
      </c>
      <c r="X27" s="8">
        <f>X22-X26</f>
        <v>-43</v>
      </c>
      <c r="Y27" s="8">
        <f>Y22-Y26</f>
        <v>23.899999999999967</v>
      </c>
      <c r="Z27" s="8">
        <f>Z22-Z26</f>
        <v>159.79999999999993</v>
      </c>
      <c r="AA27" s="8">
        <f>AA22-AA26</f>
        <v>100.9</v>
      </c>
      <c r="AB27" s="8">
        <f>AB22-AB26</f>
        <v>113.24559999999995</v>
      </c>
      <c r="AC27" s="8">
        <f t="shared" ref="AC27:AL27" si="57">AC22-AC26</f>
        <v>138.23346399999994</v>
      </c>
      <c r="AD27" s="8">
        <f t="shared" si="57"/>
        <v>166.66507059200003</v>
      </c>
      <c r="AE27" s="8">
        <f t="shared" si="57"/>
        <v>178.35527070432005</v>
      </c>
      <c r="AF27" s="8">
        <f t="shared" si="57"/>
        <v>186.25340380022882</v>
      </c>
      <c r="AG27" s="8">
        <f t="shared" si="57"/>
        <v>192.05000422113105</v>
      </c>
      <c r="AH27" s="8">
        <f t="shared" si="57"/>
        <v>197.44112029629474</v>
      </c>
      <c r="AI27" s="8">
        <f t="shared" si="57"/>
        <v>202.96565994374922</v>
      </c>
      <c r="AJ27" s="8">
        <f t="shared" si="57"/>
        <v>208.62755765653591</v>
      </c>
      <c r="AK27" s="8">
        <f t="shared" si="57"/>
        <v>214.43094027868239</v>
      </c>
      <c r="AL27" s="8">
        <f t="shared" si="57"/>
        <v>220.38014208892315</v>
      </c>
    </row>
    <row r="28" spans="2:144" x14ac:dyDescent="0.3">
      <c r="B28" t="s">
        <v>42</v>
      </c>
      <c r="I28" s="3">
        <v>5.2</v>
      </c>
      <c r="J28" s="3">
        <v>-0.7</v>
      </c>
      <c r="K28" s="3">
        <v>3.3</v>
      </c>
      <c r="L28" s="3">
        <v>1.1000000000000001</v>
      </c>
      <c r="M28" s="3">
        <v>0.2</v>
      </c>
      <c r="N28" s="3">
        <v>2.1</v>
      </c>
      <c r="O28" s="3">
        <v>4.5999999999999996</v>
      </c>
      <c r="P28" s="3">
        <v>2.8</v>
      </c>
      <c r="Q28" s="3">
        <v>4.8</v>
      </c>
      <c r="R28" s="3">
        <v>5.3</v>
      </c>
      <c r="S28" s="3">
        <v>2.5</v>
      </c>
      <c r="T28" s="3">
        <f t="shared" ref="T28:V28" si="58">T27*0.15</f>
        <v>4.3887000000000009</v>
      </c>
      <c r="U28" s="3">
        <f t="shared" si="58"/>
        <v>4.1224199999999991</v>
      </c>
      <c r="V28" s="3">
        <f t="shared" si="58"/>
        <v>4.3207199999999997</v>
      </c>
      <c r="X28" s="3">
        <v>0</v>
      </c>
      <c r="Y28" s="3">
        <v>8.8000000000000007</v>
      </c>
      <c r="Z28" s="3">
        <f>SUM(K28:N28)</f>
        <v>6.7000000000000011</v>
      </c>
      <c r="AA28" s="3">
        <f>SUM(O28:R28)</f>
        <v>17.5</v>
      </c>
      <c r="AB28" s="3">
        <f>SUM(S28:V28)</f>
        <v>15.33184</v>
      </c>
      <c r="AC28" s="3">
        <f t="shared" ref="AC28:AL28" si="59">AC27*0.15</f>
        <v>20.73501959999999</v>
      </c>
      <c r="AD28" s="3">
        <f t="shared" si="59"/>
        <v>24.999760588800005</v>
      </c>
      <c r="AE28" s="3">
        <f t="shared" si="59"/>
        <v>26.753290605648008</v>
      </c>
      <c r="AF28" s="3">
        <f t="shared" si="59"/>
        <v>27.938010570034322</v>
      </c>
      <c r="AG28" s="3">
        <f t="shared" si="59"/>
        <v>28.807500633169656</v>
      </c>
      <c r="AH28" s="3">
        <f t="shared" si="59"/>
        <v>29.616168044444208</v>
      </c>
      <c r="AI28" s="3">
        <f t="shared" si="59"/>
        <v>30.444848991562381</v>
      </c>
      <c r="AJ28" s="3">
        <f t="shared" si="59"/>
        <v>31.294133648480386</v>
      </c>
      <c r="AK28" s="3">
        <f t="shared" si="59"/>
        <v>32.164641041802355</v>
      </c>
      <c r="AL28" s="3">
        <f t="shared" si="59"/>
        <v>33.057021313338474</v>
      </c>
    </row>
    <row r="29" spans="2:144" s="1" customFormat="1" x14ac:dyDescent="0.3">
      <c r="B29" s="1" t="s">
        <v>43</v>
      </c>
      <c r="I29" s="8">
        <f t="shared" ref="I29:P29" si="60">I27-I28</f>
        <v>9.399999999999995</v>
      </c>
      <c r="J29" s="8">
        <f t="shared" si="60"/>
        <v>20.799999999999986</v>
      </c>
      <c r="K29" s="8">
        <f t="shared" si="60"/>
        <v>15.29999999999999</v>
      </c>
      <c r="L29" s="8">
        <f t="shared" si="60"/>
        <v>13.599999999999993</v>
      </c>
      <c r="M29" s="8">
        <f t="shared" si="60"/>
        <v>16.799999999999994</v>
      </c>
      <c r="N29" s="8">
        <f t="shared" si="60"/>
        <v>107.40000000000002</v>
      </c>
      <c r="O29" s="8">
        <f t="shared" si="60"/>
        <v>14.799999999999992</v>
      </c>
      <c r="P29" s="8">
        <f t="shared" si="60"/>
        <v>19.199999999999992</v>
      </c>
      <c r="Q29" s="8">
        <f t="shared" ref="Q29:R29" si="61">Q27-Q28</f>
        <v>18.199999999999992</v>
      </c>
      <c r="R29" s="8">
        <f t="shared" si="61"/>
        <v>28.599999999999969</v>
      </c>
      <c r="S29" s="8">
        <f t="shared" ref="S29:V29" si="62">S27-S28</f>
        <v>18.499999999999989</v>
      </c>
      <c r="T29" s="8">
        <f t="shared" si="62"/>
        <v>24.86930000000001</v>
      </c>
      <c r="U29" s="8">
        <f t="shared" si="62"/>
        <v>23.360379999999999</v>
      </c>
      <c r="V29" s="8">
        <f t="shared" si="62"/>
        <v>24.484079999999999</v>
      </c>
      <c r="X29" s="8">
        <f>X27-X28</f>
        <v>-43</v>
      </c>
      <c r="Y29" s="8">
        <f>Y27-Y28</f>
        <v>15.099999999999966</v>
      </c>
      <c r="Z29" s="8">
        <f>Z27-Z28</f>
        <v>153.09999999999994</v>
      </c>
      <c r="AA29" s="8">
        <f>AA27-AA28</f>
        <v>83.4</v>
      </c>
      <c r="AB29" s="8">
        <f>AB27-AB28</f>
        <v>97.913759999999954</v>
      </c>
      <c r="AC29" s="8">
        <f t="shared" ref="AC29:AL29" si="63">AC27-AC28</f>
        <v>117.49844439999995</v>
      </c>
      <c r="AD29" s="8">
        <f t="shared" si="63"/>
        <v>141.66531000320003</v>
      </c>
      <c r="AE29" s="8">
        <f t="shared" si="63"/>
        <v>151.60198009867204</v>
      </c>
      <c r="AF29" s="8">
        <f t="shared" si="63"/>
        <v>158.3153932301945</v>
      </c>
      <c r="AG29" s="8">
        <f t="shared" si="63"/>
        <v>163.24250358796138</v>
      </c>
      <c r="AH29" s="8">
        <f t="shared" si="63"/>
        <v>167.82495225185053</v>
      </c>
      <c r="AI29" s="8">
        <f t="shared" si="63"/>
        <v>172.52081095218682</v>
      </c>
      <c r="AJ29" s="8">
        <f t="shared" si="63"/>
        <v>177.33342400805552</v>
      </c>
      <c r="AK29" s="8">
        <f t="shared" si="63"/>
        <v>182.26629923688003</v>
      </c>
      <c r="AL29" s="8">
        <f t="shared" si="63"/>
        <v>187.32312077558467</v>
      </c>
      <c r="AM29" s="1">
        <f>AL29*(1+$AO$40)</f>
        <v>185.44988956782882</v>
      </c>
      <c r="AN29" s="1">
        <f t="shared" ref="AN29:CY29" si="64">AM29*(1+$AO$40)</f>
        <v>183.59539067215053</v>
      </c>
      <c r="AO29" s="1">
        <f t="shared" si="64"/>
        <v>181.75943676542903</v>
      </c>
      <c r="AP29" s="1">
        <f t="shared" si="64"/>
        <v>179.94184239777474</v>
      </c>
      <c r="AQ29" s="1">
        <f t="shared" si="64"/>
        <v>178.14242397379698</v>
      </c>
      <c r="AR29" s="1">
        <f t="shared" si="64"/>
        <v>176.36099973405902</v>
      </c>
      <c r="AS29" s="1">
        <f t="shared" si="64"/>
        <v>174.59738973671844</v>
      </c>
      <c r="AT29" s="1">
        <f t="shared" si="64"/>
        <v>172.85141583935126</v>
      </c>
      <c r="AU29" s="1">
        <f t="shared" si="64"/>
        <v>171.12290168095774</v>
      </c>
      <c r="AV29" s="1">
        <f t="shared" si="64"/>
        <v>169.41167266414817</v>
      </c>
      <c r="AW29" s="1">
        <f t="shared" si="64"/>
        <v>167.71755593750669</v>
      </c>
      <c r="AX29" s="1">
        <f t="shared" si="64"/>
        <v>166.04038037813163</v>
      </c>
      <c r="AY29" s="1">
        <f t="shared" si="64"/>
        <v>164.37997657435031</v>
      </c>
      <c r="AZ29" s="1">
        <f t="shared" si="64"/>
        <v>162.73617680860681</v>
      </c>
      <c r="BA29" s="1">
        <f t="shared" si="64"/>
        <v>161.10881504052074</v>
      </c>
      <c r="BB29" s="1">
        <f t="shared" si="64"/>
        <v>159.49772689011553</v>
      </c>
      <c r="BC29" s="1">
        <f t="shared" si="64"/>
        <v>157.90274962121438</v>
      </c>
      <c r="BD29" s="1">
        <f t="shared" si="64"/>
        <v>156.32372212500223</v>
      </c>
      <c r="BE29" s="1">
        <f t="shared" si="64"/>
        <v>154.7604849037522</v>
      </c>
      <c r="BF29" s="1">
        <f t="shared" si="64"/>
        <v>153.21288005471467</v>
      </c>
      <c r="BG29" s="1">
        <f t="shared" si="64"/>
        <v>151.68075125416752</v>
      </c>
      <c r="BH29" s="1">
        <f t="shared" si="64"/>
        <v>150.16394374162584</v>
      </c>
      <c r="BI29" s="1">
        <f t="shared" si="64"/>
        <v>148.66230430420958</v>
      </c>
      <c r="BJ29" s="1">
        <f t="shared" si="64"/>
        <v>147.17568126116748</v>
      </c>
      <c r="BK29" s="1">
        <f t="shared" si="64"/>
        <v>145.7039244485558</v>
      </c>
      <c r="BL29" s="1">
        <f t="shared" si="64"/>
        <v>144.24688520407022</v>
      </c>
      <c r="BM29" s="1">
        <f t="shared" si="64"/>
        <v>142.80441635202953</v>
      </c>
      <c r="BN29" s="1">
        <f t="shared" si="64"/>
        <v>141.37637218850924</v>
      </c>
      <c r="BO29" s="1">
        <f t="shared" si="64"/>
        <v>139.96260846662415</v>
      </c>
      <c r="BP29" s="1">
        <f t="shared" si="64"/>
        <v>138.56298238195791</v>
      </c>
      <c r="BQ29" s="1">
        <f t="shared" si="64"/>
        <v>137.17735255813832</v>
      </c>
      <c r="BR29" s="1">
        <f t="shared" si="64"/>
        <v>135.80557903255695</v>
      </c>
      <c r="BS29" s="1">
        <f t="shared" si="64"/>
        <v>134.44752324223137</v>
      </c>
      <c r="BT29" s="1">
        <f t="shared" si="64"/>
        <v>133.10304800980904</v>
      </c>
      <c r="BU29" s="1">
        <f t="shared" si="64"/>
        <v>131.77201752971095</v>
      </c>
      <c r="BV29" s="1">
        <f t="shared" si="64"/>
        <v>130.45429735441385</v>
      </c>
      <c r="BW29" s="1">
        <f t="shared" si="64"/>
        <v>129.14975438086972</v>
      </c>
      <c r="BX29" s="1">
        <f t="shared" si="64"/>
        <v>127.85825683706102</v>
      </c>
      <c r="BY29" s="1">
        <f t="shared" si="64"/>
        <v>126.57967426869041</v>
      </c>
      <c r="BZ29" s="1">
        <f t="shared" si="64"/>
        <v>125.31387752600351</v>
      </c>
      <c r="CA29" s="1">
        <f t="shared" si="64"/>
        <v>124.06073875074347</v>
      </c>
      <c r="CB29" s="1">
        <f t="shared" si="64"/>
        <v>122.82013136323603</v>
      </c>
      <c r="CC29" s="1">
        <f t="shared" si="64"/>
        <v>121.59193004960366</v>
      </c>
      <c r="CD29" s="1">
        <f t="shared" si="64"/>
        <v>120.37601074910762</v>
      </c>
      <c r="CE29" s="1">
        <f t="shared" si="64"/>
        <v>119.17225064161654</v>
      </c>
      <c r="CF29" s="1">
        <f t="shared" si="64"/>
        <v>117.98052813520037</v>
      </c>
      <c r="CG29" s="1">
        <f t="shared" si="64"/>
        <v>116.80072285384837</v>
      </c>
      <c r="CH29" s="1">
        <f t="shared" si="64"/>
        <v>115.63271562530988</v>
      </c>
      <c r="CI29" s="1">
        <f t="shared" si="64"/>
        <v>114.47638846905679</v>
      </c>
      <c r="CJ29" s="1">
        <f t="shared" si="64"/>
        <v>113.33162458436622</v>
      </c>
      <c r="CK29" s="1">
        <f t="shared" si="64"/>
        <v>112.19830833852257</v>
      </c>
      <c r="CL29" s="1">
        <f t="shared" si="64"/>
        <v>111.07632525513733</v>
      </c>
      <c r="CM29" s="1">
        <f t="shared" si="64"/>
        <v>109.96556200258595</v>
      </c>
      <c r="CN29" s="1">
        <f t="shared" si="64"/>
        <v>108.8659063825601</v>
      </c>
      <c r="CO29" s="1">
        <f t="shared" si="64"/>
        <v>107.7772473187345</v>
      </c>
      <c r="CP29" s="1">
        <f t="shared" si="64"/>
        <v>106.69947484554714</v>
      </c>
      <c r="CQ29" s="1">
        <f t="shared" si="64"/>
        <v>105.63248009709167</v>
      </c>
      <c r="CR29" s="1">
        <f t="shared" si="64"/>
        <v>104.57615529612076</v>
      </c>
      <c r="CS29" s="1">
        <f t="shared" si="64"/>
        <v>103.53039374315955</v>
      </c>
      <c r="CT29" s="1">
        <f t="shared" si="64"/>
        <v>102.49508980572796</v>
      </c>
      <c r="CU29" s="1">
        <f t="shared" si="64"/>
        <v>101.47013890767067</v>
      </c>
      <c r="CV29" s="1">
        <f t="shared" si="64"/>
        <v>100.45543751859397</v>
      </c>
      <c r="CW29" s="1">
        <f t="shared" si="64"/>
        <v>99.450883143408021</v>
      </c>
      <c r="CX29" s="1">
        <f t="shared" si="64"/>
        <v>98.456374311973946</v>
      </c>
      <c r="CY29" s="1">
        <f t="shared" si="64"/>
        <v>97.47181056885421</v>
      </c>
      <c r="CZ29" s="1">
        <f t="shared" ref="CZ29:EN29" si="65">CY29*(1+$AO$40)</f>
        <v>96.497092463165671</v>
      </c>
      <c r="DA29" s="1">
        <f t="shared" si="65"/>
        <v>95.532121538534014</v>
      </c>
      <c r="DB29" s="1">
        <f t="shared" si="65"/>
        <v>94.576800323148674</v>
      </c>
      <c r="DC29" s="1">
        <f t="shared" si="65"/>
        <v>93.631032319917182</v>
      </c>
      <c r="DD29" s="1">
        <f t="shared" si="65"/>
        <v>92.694721996718016</v>
      </c>
      <c r="DE29" s="1">
        <f t="shared" si="65"/>
        <v>91.767774776750841</v>
      </c>
      <c r="DF29" s="1">
        <f t="shared" si="65"/>
        <v>90.850097028983328</v>
      </c>
      <c r="DG29" s="1">
        <f t="shared" si="65"/>
        <v>89.941596058693491</v>
      </c>
      <c r="DH29" s="1">
        <f t="shared" si="65"/>
        <v>89.042180098106556</v>
      </c>
      <c r="DI29" s="1">
        <f t="shared" si="65"/>
        <v>88.151758297125482</v>
      </c>
      <c r="DJ29" s="1">
        <f t="shared" si="65"/>
        <v>87.270240714154227</v>
      </c>
      <c r="DK29" s="1">
        <f t="shared" si="65"/>
        <v>86.397538307012681</v>
      </c>
      <c r="DL29" s="1">
        <f t="shared" si="65"/>
        <v>85.533562923942554</v>
      </c>
      <c r="DM29" s="1">
        <f t="shared" si="65"/>
        <v>84.678227294703134</v>
      </c>
      <c r="DN29" s="1">
        <f t="shared" si="65"/>
        <v>83.831445021756096</v>
      </c>
      <c r="DO29" s="1">
        <f t="shared" si="65"/>
        <v>82.993130571538529</v>
      </c>
      <c r="DP29" s="1">
        <f t="shared" si="65"/>
        <v>82.163199265823138</v>
      </c>
      <c r="DQ29" s="1">
        <f t="shared" si="65"/>
        <v>81.341567273164912</v>
      </c>
      <c r="DR29" s="1">
        <f t="shared" si="65"/>
        <v>80.528151600433262</v>
      </c>
      <c r="DS29" s="1">
        <f t="shared" si="65"/>
        <v>79.722870084428934</v>
      </c>
      <c r="DT29" s="1">
        <f t="shared" si="65"/>
        <v>78.925641383584647</v>
      </c>
      <c r="DU29" s="1">
        <f t="shared" si="65"/>
        <v>78.136384969748804</v>
      </c>
      <c r="DV29" s="1">
        <f t="shared" si="65"/>
        <v>77.355021120051319</v>
      </c>
      <c r="DW29" s="1">
        <f t="shared" si="65"/>
        <v>76.581470908850804</v>
      </c>
      <c r="DX29" s="1">
        <f t="shared" si="65"/>
        <v>75.815656199762302</v>
      </c>
      <c r="DY29" s="1">
        <f t="shared" si="65"/>
        <v>75.057499637764678</v>
      </c>
      <c r="DZ29" s="1">
        <f t="shared" si="65"/>
        <v>74.306924641387027</v>
      </c>
      <c r="EA29" s="1">
        <f t="shared" si="65"/>
        <v>73.56385539497316</v>
      </c>
      <c r="EB29" s="1">
        <f t="shared" si="65"/>
        <v>72.828216841023433</v>
      </c>
      <c r="EC29" s="1">
        <f t="shared" si="65"/>
        <v>72.099934672613202</v>
      </c>
      <c r="ED29" s="1">
        <f t="shared" si="65"/>
        <v>71.37893532588707</v>
      </c>
      <c r="EE29" s="1">
        <f t="shared" si="65"/>
        <v>70.665145972628196</v>
      </c>
      <c r="EF29" s="1">
        <f t="shared" si="65"/>
        <v>69.958494512901908</v>
      </c>
      <c r="EG29" s="1">
        <f t="shared" si="65"/>
        <v>69.258909567772889</v>
      </c>
      <c r="EH29" s="1">
        <f t="shared" si="65"/>
        <v>68.566320472095157</v>
      </c>
      <c r="EI29" s="1">
        <f t="shared" si="65"/>
        <v>67.880657267374204</v>
      </c>
      <c r="EJ29" s="1">
        <f t="shared" si="65"/>
        <v>67.201850694700468</v>
      </c>
      <c r="EK29" s="1">
        <f t="shared" si="65"/>
        <v>66.529832187753456</v>
      </c>
      <c r="EL29" s="1">
        <f t="shared" si="65"/>
        <v>65.864533865875927</v>
      </c>
      <c r="EM29" s="1">
        <f t="shared" si="65"/>
        <v>65.205888527217169</v>
      </c>
      <c r="EN29" s="1">
        <f t="shared" si="65"/>
        <v>64.553829641945001</v>
      </c>
    </row>
    <row r="30" spans="2:144" x14ac:dyDescent="0.3">
      <c r="B30" t="s">
        <v>2</v>
      </c>
      <c r="I30" s="3">
        <v>88.5</v>
      </c>
      <c r="J30" s="3">
        <v>88.5</v>
      </c>
      <c r="K30" s="3">
        <v>88.5</v>
      </c>
      <c r="L30" s="3">
        <v>88.5</v>
      </c>
      <c r="M30" s="3">
        <v>88.5</v>
      </c>
      <c r="N30" s="3">
        <v>88.5</v>
      </c>
      <c r="O30" s="3">
        <v>88.5</v>
      </c>
      <c r="P30" s="3">
        <v>88.5</v>
      </c>
      <c r="Q30" s="3">
        <v>88.5</v>
      </c>
      <c r="R30" s="3">
        <v>88.5</v>
      </c>
      <c r="S30" s="3">
        <v>89.5</v>
      </c>
      <c r="T30" s="3">
        <v>89.5</v>
      </c>
      <c r="U30" s="3">
        <v>89.5</v>
      </c>
      <c r="V30" s="3">
        <v>89.5</v>
      </c>
      <c r="X30" s="3">
        <v>88.5</v>
      </c>
      <c r="Y30" s="3">
        <v>88.5</v>
      </c>
      <c r="Z30" s="3">
        <v>88.5</v>
      </c>
      <c r="AA30" s="3">
        <v>88.5</v>
      </c>
      <c r="AB30" s="3">
        <v>89.5</v>
      </c>
      <c r="AC30" s="3">
        <v>89.5</v>
      </c>
      <c r="AD30" s="3">
        <v>89.5</v>
      </c>
      <c r="AE30" s="3">
        <v>89.5</v>
      </c>
      <c r="AF30" s="3">
        <v>89.5</v>
      </c>
      <c r="AG30" s="3">
        <v>89.5</v>
      </c>
      <c r="AH30" s="3">
        <v>89.5</v>
      </c>
      <c r="AI30" s="3">
        <v>89.5</v>
      </c>
      <c r="AJ30" s="3">
        <v>89.5</v>
      </c>
      <c r="AK30" s="3">
        <v>89.5</v>
      </c>
      <c r="AL30" s="3">
        <v>89.5</v>
      </c>
    </row>
    <row r="31" spans="2:144" x14ac:dyDescent="0.3">
      <c r="B31" t="s">
        <v>44</v>
      </c>
      <c r="I31" s="7">
        <f t="shared" ref="I31:P31" si="66">I29/I30</f>
        <v>0.10621468926553666</v>
      </c>
      <c r="J31" s="7">
        <f t="shared" si="66"/>
        <v>0.23502824858757046</v>
      </c>
      <c r="K31" s="7">
        <f t="shared" si="66"/>
        <v>0.17288135593220327</v>
      </c>
      <c r="L31" s="7">
        <f t="shared" si="66"/>
        <v>0.15367231638418072</v>
      </c>
      <c r="M31" s="7">
        <f t="shared" si="66"/>
        <v>0.18983050847457619</v>
      </c>
      <c r="N31" s="7">
        <f t="shared" si="66"/>
        <v>1.2135593220338985</v>
      </c>
      <c r="O31" s="7">
        <f t="shared" si="66"/>
        <v>0.167231638418079</v>
      </c>
      <c r="P31" s="7">
        <f t="shared" si="66"/>
        <v>0.21694915254237279</v>
      </c>
      <c r="Q31" s="7">
        <f t="shared" ref="Q31:R31" si="67">Q29/Q30</f>
        <v>0.2056497175141242</v>
      </c>
      <c r="R31" s="7">
        <f t="shared" si="67"/>
        <v>0.32316384180790925</v>
      </c>
      <c r="S31" s="7">
        <f t="shared" ref="S31:V31" si="68">S29/S30</f>
        <v>0.20670391061452503</v>
      </c>
      <c r="T31" s="7">
        <f t="shared" si="68"/>
        <v>0.27786927374301684</v>
      </c>
      <c r="U31" s="7">
        <f t="shared" si="68"/>
        <v>0.26100983240223463</v>
      </c>
      <c r="V31" s="7">
        <f t="shared" si="68"/>
        <v>0.27356513966480445</v>
      </c>
      <c r="X31" s="7">
        <f>X29/X30</f>
        <v>-0.48587570621468928</v>
      </c>
      <c r="Y31" s="7">
        <f>Y29/Y30</f>
        <v>0.17062146892655328</v>
      </c>
      <c r="Z31" s="7">
        <f>Z29/Z30</f>
        <v>1.729943502824858</v>
      </c>
      <c r="AA31" s="7">
        <f>AA29/AA30</f>
        <v>0.94237288135593222</v>
      </c>
      <c r="AB31" s="7">
        <f>AB29/AB30</f>
        <v>1.0940084916201112</v>
      </c>
      <c r="AC31" s="7">
        <f t="shared" ref="AC31:AL31" si="69">AC29/AC30</f>
        <v>1.3128317810055861</v>
      </c>
      <c r="AD31" s="7">
        <f t="shared" si="69"/>
        <v>1.5828526257340787</v>
      </c>
      <c r="AE31" s="7">
        <f t="shared" si="69"/>
        <v>1.6938768726108608</v>
      </c>
      <c r="AF31" s="7">
        <f t="shared" si="69"/>
        <v>1.7688870751977039</v>
      </c>
      <c r="AG31" s="7">
        <f t="shared" si="69"/>
        <v>1.8239385875749874</v>
      </c>
      <c r="AH31" s="7">
        <f t="shared" si="69"/>
        <v>1.8751391313055925</v>
      </c>
      <c r="AI31" s="7">
        <f t="shared" si="69"/>
        <v>1.927606826281417</v>
      </c>
      <c r="AJ31" s="7">
        <f t="shared" si="69"/>
        <v>1.981379039196151</v>
      </c>
      <c r="AK31" s="7">
        <f t="shared" si="69"/>
        <v>2.0364949635405591</v>
      </c>
      <c r="AL31" s="7">
        <f t="shared" si="69"/>
        <v>2.0929957628556948</v>
      </c>
    </row>
    <row r="32" spans="2:144" x14ac:dyDescent="0.3">
      <c r="M32" s="9"/>
      <c r="N32" s="9"/>
      <c r="O32" s="9"/>
      <c r="P32" s="9"/>
      <c r="Y32" s="9"/>
      <c r="Z32" s="9"/>
      <c r="AA32" s="9"/>
    </row>
    <row r="33" spans="2:41" x14ac:dyDescent="0.3">
      <c r="B33" t="s">
        <v>92</v>
      </c>
      <c r="G33" s="10">
        <f>G3/C3-1</f>
        <v>0.44194756554307113</v>
      </c>
      <c r="H33" s="10">
        <f t="shared" ref="H33:S33" si="70">H3/D3-1</f>
        <v>0.49134948096885833</v>
      </c>
      <c r="I33" s="10">
        <f t="shared" si="70"/>
        <v>0.40687679083094563</v>
      </c>
      <c r="J33" s="10">
        <f t="shared" si="70"/>
        <v>0.54768392370572183</v>
      </c>
      <c r="K33" s="10">
        <f t="shared" si="70"/>
        <v>0.25974025974025983</v>
      </c>
      <c r="L33" s="10">
        <f t="shared" si="70"/>
        <v>0.24825986078886308</v>
      </c>
      <c r="M33" s="10">
        <f t="shared" si="70"/>
        <v>0.23828920570264756</v>
      </c>
      <c r="N33" s="10">
        <f t="shared" si="70"/>
        <v>0.19366197183098599</v>
      </c>
      <c r="O33" s="10">
        <f t="shared" si="70"/>
        <v>0.2082474226804123</v>
      </c>
      <c r="P33" s="10">
        <f t="shared" si="70"/>
        <v>0.2007434944237918</v>
      </c>
      <c r="Q33" s="10">
        <f t="shared" si="70"/>
        <v>0.26315789473684204</v>
      </c>
      <c r="R33" s="10">
        <f t="shared" si="70"/>
        <v>0.37610619469026552</v>
      </c>
      <c r="S33" s="10">
        <f t="shared" si="70"/>
        <v>0.63139931740614319</v>
      </c>
      <c r="T33" s="10">
        <f t="shared" ref="T33:T35" si="71">T3/P3-1</f>
        <v>0.5</v>
      </c>
      <c r="U33" s="10">
        <f t="shared" ref="U33:U35" si="72">U3/Q3-1</f>
        <v>0.27</v>
      </c>
      <c r="V33" s="10">
        <f t="shared" ref="V33:V35" si="73">V3/R3-1</f>
        <v>7.0000000000000062E-2</v>
      </c>
      <c r="Y33" s="10">
        <f t="shared" ref="Y33:Z33" si="74">Y3/X3-1</f>
        <v>0.47405660377358494</v>
      </c>
      <c r="Z33" s="10">
        <f t="shared" si="74"/>
        <v>0.23146666666666649</v>
      </c>
      <c r="AA33" s="10">
        <f>AA3/Z3-1</f>
        <v>0.27024686011260313</v>
      </c>
      <c r="AB33" s="10">
        <f>AB3/AA3-1</f>
        <v>0.3292430958063417</v>
      </c>
      <c r="AC33" s="10">
        <f t="shared" ref="AC33:AL33" si="75">AC3/AB3-1</f>
        <v>0.17999999999999994</v>
      </c>
      <c r="AD33" s="10">
        <f t="shared" si="75"/>
        <v>0.12000000000000011</v>
      </c>
      <c r="AE33" s="10">
        <f t="shared" si="75"/>
        <v>6.0000000000000053E-2</v>
      </c>
      <c r="AF33" s="10">
        <f t="shared" si="75"/>
        <v>4.0000000000000036E-2</v>
      </c>
      <c r="AG33" s="10">
        <f t="shared" si="75"/>
        <v>3.0000000000000027E-2</v>
      </c>
      <c r="AH33" s="10">
        <f t="shared" si="75"/>
        <v>2.0000000000000018E-2</v>
      </c>
      <c r="AI33" s="10">
        <f t="shared" si="75"/>
        <v>2.0000000000000018E-2</v>
      </c>
      <c r="AJ33" s="10">
        <f t="shared" si="75"/>
        <v>2.0000000000000018E-2</v>
      </c>
      <c r="AK33" s="10">
        <f t="shared" si="75"/>
        <v>2.0000000000000018E-2</v>
      </c>
      <c r="AL33" s="10">
        <f t="shared" si="75"/>
        <v>2.0000000000000018E-2</v>
      </c>
    </row>
    <row r="34" spans="2:41" x14ac:dyDescent="0.3">
      <c r="B34" t="s">
        <v>93</v>
      </c>
      <c r="G34" s="10">
        <f t="shared" ref="G34:S34" si="76">G4/C4-1</f>
        <v>0.36752136752136755</v>
      </c>
      <c r="H34" s="10">
        <f t="shared" si="76"/>
        <v>0.13087248322147649</v>
      </c>
      <c r="I34" s="10">
        <f t="shared" si="76"/>
        <v>0.15309446254071668</v>
      </c>
      <c r="J34" s="10">
        <f t="shared" si="76"/>
        <v>0.12068965517241392</v>
      </c>
      <c r="K34" s="10">
        <f t="shared" si="76"/>
        <v>0.18124999999999991</v>
      </c>
      <c r="L34" s="10">
        <f t="shared" si="76"/>
        <v>0.15430267062314518</v>
      </c>
      <c r="M34" s="10">
        <f t="shared" si="76"/>
        <v>0.15254237288135597</v>
      </c>
      <c r="N34" s="10">
        <f t="shared" si="76"/>
        <v>0.1461538461538463</v>
      </c>
      <c r="O34" s="10">
        <f t="shared" si="76"/>
        <v>0.14021164021164023</v>
      </c>
      <c r="P34" s="10">
        <f t="shared" si="76"/>
        <v>0.14395886889460163</v>
      </c>
      <c r="Q34" s="10">
        <f t="shared" si="76"/>
        <v>0.13480392156862742</v>
      </c>
      <c r="R34" s="10">
        <f t="shared" si="76"/>
        <v>0.17002237136465315</v>
      </c>
      <c r="S34" s="10">
        <f t="shared" si="76"/>
        <v>8.1206496519721671E-2</v>
      </c>
      <c r="T34" s="10">
        <f t="shared" si="71"/>
        <v>7.0000000000000062E-2</v>
      </c>
      <c r="U34" s="10">
        <f t="shared" si="72"/>
        <v>7.0000000000000062E-2</v>
      </c>
      <c r="V34" s="10">
        <f t="shared" si="73"/>
        <v>2.0000000000000018E-2</v>
      </c>
      <c r="Y34" s="10">
        <f t="shared" ref="Y34:AA34" si="77">Y4/X4-1</f>
        <v>0.18028643639427111</v>
      </c>
      <c r="Z34" s="10">
        <f t="shared" si="77"/>
        <v>0.15774446823697352</v>
      </c>
      <c r="AA34" s="10">
        <f t="shared" si="77"/>
        <v>0.14796547472256472</v>
      </c>
      <c r="AB34" s="10">
        <f t="shared" ref="AB34:AL34" si="78">AB4/AA4-1</f>
        <v>5.854994629430732E-2</v>
      </c>
      <c r="AC34" s="10">
        <f t="shared" si="78"/>
        <v>5.0000000000000044E-2</v>
      </c>
      <c r="AD34" s="10">
        <f t="shared" si="78"/>
        <v>4.0000000000000036E-2</v>
      </c>
      <c r="AE34" s="10">
        <f t="shared" si="78"/>
        <v>3.0000000000000027E-2</v>
      </c>
      <c r="AF34" s="10">
        <f t="shared" si="78"/>
        <v>2.0000000000000018E-2</v>
      </c>
      <c r="AG34" s="10">
        <f t="shared" si="78"/>
        <v>2.0000000000000018E-2</v>
      </c>
      <c r="AH34" s="10">
        <f t="shared" si="78"/>
        <v>2.0000000000000018E-2</v>
      </c>
      <c r="AI34" s="10">
        <f t="shared" si="78"/>
        <v>2.0000000000000018E-2</v>
      </c>
      <c r="AJ34" s="10">
        <f t="shared" si="78"/>
        <v>2.0000000000000018E-2</v>
      </c>
      <c r="AK34" s="10">
        <f t="shared" si="78"/>
        <v>2.0000000000000018E-2</v>
      </c>
      <c r="AL34" s="10">
        <f t="shared" si="78"/>
        <v>2.0000000000000018E-2</v>
      </c>
    </row>
    <row r="35" spans="2:41" x14ac:dyDescent="0.3">
      <c r="B35" t="s">
        <v>94</v>
      </c>
      <c r="G35" s="10">
        <f t="shared" ref="G35:S35" si="79">G5/C5-1</f>
        <v>-0.21428571428571419</v>
      </c>
      <c r="H35" s="10">
        <f t="shared" si="79"/>
        <v>-0.2857142857142857</v>
      </c>
      <c r="I35" s="10">
        <f t="shared" si="79"/>
        <v>-0.19999999999999996</v>
      </c>
      <c r="J35" s="10">
        <f t="shared" si="79"/>
        <v>-0.58333333333333326</v>
      </c>
      <c r="K35" s="10">
        <f t="shared" si="79"/>
        <v>-0.36363636363636376</v>
      </c>
      <c r="L35" s="10">
        <f t="shared" si="79"/>
        <v>0.5</v>
      </c>
      <c r="M35" s="10">
        <f t="shared" si="79"/>
        <v>0.25</v>
      </c>
      <c r="N35" s="10">
        <f t="shared" si="79"/>
        <v>0</v>
      </c>
      <c r="O35" s="10">
        <f t="shared" si="79"/>
        <v>-0.8571428571428571</v>
      </c>
      <c r="P35" s="10">
        <f t="shared" si="79"/>
        <v>-0.60000000000000009</v>
      </c>
      <c r="Q35" s="10">
        <f t="shared" si="79"/>
        <v>-0.9</v>
      </c>
      <c r="R35" s="10">
        <f t="shared" si="79"/>
        <v>-0.6</v>
      </c>
      <c r="S35" s="10">
        <f t="shared" si="79"/>
        <v>4</v>
      </c>
      <c r="T35" s="10">
        <f t="shared" si="71"/>
        <v>-0.7</v>
      </c>
      <c r="U35" s="10">
        <f t="shared" si="72"/>
        <v>-0.7</v>
      </c>
      <c r="V35" s="10">
        <f t="shared" si="73"/>
        <v>-0.7</v>
      </c>
      <c r="Y35" s="10">
        <f t="shared" ref="Y35:AA35" si="80">Y5/X5-1</f>
        <v>-0.31999999999999995</v>
      </c>
      <c r="Z35" s="10">
        <f t="shared" si="80"/>
        <v>8.8235294117646967E-2</v>
      </c>
      <c r="AA35" s="10">
        <f t="shared" si="80"/>
        <v>-0.72972972972972983</v>
      </c>
      <c r="AB35" s="10">
        <f t="shared" ref="AB35:AL35" si="81">AB5/AA5-1</f>
        <v>-0.22999999999999998</v>
      </c>
      <c r="AC35" s="10">
        <f t="shared" si="81"/>
        <v>-1</v>
      </c>
      <c r="AD35" s="10" t="e">
        <f t="shared" si="81"/>
        <v>#DIV/0!</v>
      </c>
      <c r="AE35" s="10" t="e">
        <f t="shared" si="81"/>
        <v>#DIV/0!</v>
      </c>
      <c r="AF35" s="10" t="e">
        <f t="shared" si="81"/>
        <v>#DIV/0!</v>
      </c>
      <c r="AG35" s="10" t="e">
        <f t="shared" si="81"/>
        <v>#DIV/0!</v>
      </c>
      <c r="AH35" s="10" t="e">
        <f t="shared" si="81"/>
        <v>#DIV/0!</v>
      </c>
      <c r="AI35" s="10" t="e">
        <f t="shared" si="81"/>
        <v>#DIV/0!</v>
      </c>
      <c r="AJ35" s="10" t="e">
        <f t="shared" si="81"/>
        <v>#DIV/0!</v>
      </c>
      <c r="AK35" s="10" t="e">
        <f t="shared" si="81"/>
        <v>#DIV/0!</v>
      </c>
      <c r="AL35" s="10" t="e">
        <f t="shared" si="81"/>
        <v>#DIV/0!</v>
      </c>
    </row>
    <row r="36" spans="2:41" s="1" customFormat="1" x14ac:dyDescent="0.3">
      <c r="B36" s="1" t="s">
        <v>46</v>
      </c>
      <c r="M36" s="9">
        <f>M8/I8-1</f>
        <v>0.20140515222482436</v>
      </c>
      <c r="N36" s="9">
        <f t="shared" ref="N36:R36" si="82">N8/J8-1</f>
        <v>0.17738589211618261</v>
      </c>
      <c r="O36" s="9">
        <f t="shared" si="82"/>
        <v>0.17221584385763489</v>
      </c>
      <c r="P36" s="9">
        <f t="shared" si="82"/>
        <v>0.17709437963944863</v>
      </c>
      <c r="Q36" s="9">
        <f t="shared" si="82"/>
        <v>0.20760233918128645</v>
      </c>
      <c r="R36" s="9">
        <f t="shared" si="82"/>
        <v>0.2854625550660792</v>
      </c>
      <c r="S36" s="9">
        <f t="shared" ref="S36" si="83">S8/O8-1</f>
        <v>0.39764936336924572</v>
      </c>
      <c r="T36" s="9">
        <f t="shared" ref="T36" si="84">T8/P8-1</f>
        <v>0.30806306306306319</v>
      </c>
      <c r="U36" s="9">
        <f t="shared" ref="U36" si="85">U8/Q8-1</f>
        <v>0.19133979015334956</v>
      </c>
      <c r="V36" s="9">
        <f t="shared" ref="V36" si="86">V8/R8-1</f>
        <v>5.3714873200822577E-2</v>
      </c>
      <c r="X36" s="9"/>
      <c r="Y36" s="9">
        <f>Y8/X8-1</f>
        <v>0.31809145129224659</v>
      </c>
      <c r="Z36" s="9">
        <f t="shared" ref="Z36:AL36" si="87">Z8/Y8-1</f>
        <v>0.19909502262443413</v>
      </c>
      <c r="AA36" s="9">
        <f t="shared" si="87"/>
        <v>0.2148427672955977</v>
      </c>
      <c r="AB36" s="9">
        <f t="shared" si="87"/>
        <v>0.22020915303375421</v>
      </c>
      <c r="AC36" s="9">
        <f t="shared" si="87"/>
        <v>0.1350235812632905</v>
      </c>
      <c r="AD36" s="9">
        <f t="shared" si="87"/>
        <v>9.5459682904382337E-2</v>
      </c>
      <c r="AE36" s="9">
        <f t="shared" si="87"/>
        <v>5.1599378707583021E-2</v>
      </c>
      <c r="AF36" s="9">
        <f t="shared" si="87"/>
        <v>3.4783384248417981E-2</v>
      </c>
      <c r="AG36" s="9">
        <f t="shared" si="87"/>
        <v>2.7436758450269272E-2</v>
      </c>
      <c r="AH36" s="9">
        <f t="shared" si="87"/>
        <v>2.0334157552887255E-2</v>
      </c>
      <c r="AI36" s="9">
        <f t="shared" si="87"/>
        <v>2.0360247969211764E-2</v>
      </c>
      <c r="AJ36" s="9">
        <f t="shared" si="87"/>
        <v>2.0388365547287401E-2</v>
      </c>
      <c r="AK36" s="9">
        <f t="shared" si="87"/>
        <v>2.0418666182838052E-2</v>
      </c>
      <c r="AL36" s="9">
        <f t="shared" si="87"/>
        <v>2.0451317499752264E-2</v>
      </c>
    </row>
    <row r="37" spans="2:41" s="1" customFormat="1" x14ac:dyDescent="0.3">
      <c r="B37" t="s">
        <v>65</v>
      </c>
      <c r="C37"/>
      <c r="D37"/>
      <c r="E37"/>
      <c r="F37"/>
      <c r="I37" s="10">
        <f t="shared" ref="I37:R37" si="88">(I8-I9)/I8</f>
        <v>0.98829039812646369</v>
      </c>
      <c r="J37" s="10">
        <f t="shared" si="88"/>
        <v>0.99170124481327804</v>
      </c>
      <c r="K37" s="10">
        <f t="shared" si="88"/>
        <v>0.99081515499425954</v>
      </c>
      <c r="L37" s="10">
        <f t="shared" si="88"/>
        <v>0.98833510074231179</v>
      </c>
      <c r="M37" s="10">
        <f t="shared" si="88"/>
        <v>0.99317738791422994</v>
      </c>
      <c r="N37" s="10">
        <f t="shared" si="88"/>
        <v>0.99559471365638763</v>
      </c>
      <c r="O37" s="10">
        <f t="shared" si="88"/>
        <v>0.9627815866797258</v>
      </c>
      <c r="P37" s="10">
        <f t="shared" si="88"/>
        <v>0.98288288288288284</v>
      </c>
      <c r="Q37" s="10">
        <f t="shared" si="88"/>
        <v>0.98547215496368046</v>
      </c>
      <c r="R37" s="10">
        <f t="shared" si="88"/>
        <v>0.98286497601096645</v>
      </c>
      <c r="S37" s="10">
        <f t="shared" ref="S37:V37" si="89">(S8-S9)/S8</f>
        <v>0.98458304134548014</v>
      </c>
      <c r="T37" s="10">
        <f t="shared" si="89"/>
        <v>0.98000000000000009</v>
      </c>
      <c r="U37" s="10">
        <f t="shared" si="89"/>
        <v>0.97999999999999987</v>
      </c>
      <c r="V37" s="10">
        <f t="shared" si="89"/>
        <v>0.98000000000000009</v>
      </c>
      <c r="X37" s="10">
        <f t="shared" ref="X37:AB37" si="90">(X8-X9)/X8</f>
        <v>0.98210735586481113</v>
      </c>
      <c r="Y37" s="10">
        <f t="shared" si="90"/>
        <v>0.98763197586726992</v>
      </c>
      <c r="Z37" s="10">
        <f t="shared" si="90"/>
        <v>0.99220125786163516</v>
      </c>
      <c r="AA37" s="10">
        <f t="shared" si="90"/>
        <v>0.979291778836198</v>
      </c>
      <c r="AB37" s="10">
        <f t="shared" si="90"/>
        <v>0.98110990616710714</v>
      </c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41" s="1" customFormat="1" x14ac:dyDescent="0.3">
      <c r="B38" t="s">
        <v>66</v>
      </c>
      <c r="C38"/>
      <c r="D38"/>
      <c r="E38"/>
      <c r="F38"/>
      <c r="I38" s="10">
        <f t="shared" ref="I38:Q38" si="91">(I8-I10)/I8</f>
        <v>0.99063231850117095</v>
      </c>
      <c r="J38" s="10">
        <f t="shared" si="91"/>
        <v>0.99066390041493768</v>
      </c>
      <c r="K38" s="10">
        <f t="shared" si="91"/>
        <v>0.98966704936854188</v>
      </c>
      <c r="L38" s="10">
        <f t="shared" si="91"/>
        <v>0.98833510074231179</v>
      </c>
      <c r="M38" s="10">
        <f t="shared" si="91"/>
        <v>0.98830409356725146</v>
      </c>
      <c r="N38" s="10">
        <f t="shared" si="91"/>
        <v>0.99030837004405292</v>
      </c>
      <c r="O38" s="10">
        <f t="shared" si="91"/>
        <v>0.99020568070519099</v>
      </c>
      <c r="P38" s="10">
        <f t="shared" si="91"/>
        <v>0.99189189189189186</v>
      </c>
      <c r="Q38" s="10">
        <f t="shared" si="91"/>
        <v>0.99273607748184012</v>
      </c>
      <c r="R38" s="10">
        <f>(R8-R10)/R8</f>
        <v>0.99246058944482529</v>
      </c>
      <c r="S38" s="10">
        <f t="shared" ref="S38:V38" si="92">(S8-S10)/S8</f>
        <v>0.99369306236860544</v>
      </c>
      <c r="T38" s="10">
        <f t="shared" si="92"/>
        <v>0.98999999999999988</v>
      </c>
      <c r="U38" s="10">
        <f t="shared" si="92"/>
        <v>0.9900000000000001</v>
      </c>
      <c r="V38" s="10">
        <f t="shared" si="92"/>
        <v>0.98999999999999988</v>
      </c>
      <c r="X38" s="10">
        <f t="shared" ref="X38:AB38" si="93">(X8-X10)/X8</f>
        <v>0.98528827037773359</v>
      </c>
      <c r="Y38" s="10">
        <f t="shared" si="93"/>
        <v>0.98853695324283553</v>
      </c>
      <c r="Z38" s="10">
        <f t="shared" si="93"/>
        <v>0.98918238993710694</v>
      </c>
      <c r="AA38" s="10">
        <f t="shared" si="93"/>
        <v>0.99192379374611728</v>
      </c>
      <c r="AB38" s="10">
        <f t="shared" si="93"/>
        <v>0.99089437392976354</v>
      </c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41" s="1" customFormat="1" x14ac:dyDescent="0.3">
      <c r="B39" t="s">
        <v>67</v>
      </c>
      <c r="C39"/>
      <c r="D39"/>
      <c r="E39"/>
      <c r="F39"/>
      <c r="I39" s="10">
        <f t="shared" ref="I39:Q39" si="94">(I8-I11)/I8</f>
        <v>0.83723653395784536</v>
      </c>
      <c r="J39" s="10">
        <f t="shared" si="94"/>
        <v>0.8205394190871369</v>
      </c>
      <c r="K39" s="10">
        <f t="shared" si="94"/>
        <v>0.82548794489092991</v>
      </c>
      <c r="L39" s="10">
        <f t="shared" si="94"/>
        <v>0.78366914103923635</v>
      </c>
      <c r="M39" s="10">
        <f t="shared" si="94"/>
        <v>0.77290448343079921</v>
      </c>
      <c r="N39" s="10">
        <f t="shared" si="94"/>
        <v>0.76211453744493396</v>
      </c>
      <c r="O39" s="10">
        <f t="shared" si="94"/>
        <v>0.81096963761018614</v>
      </c>
      <c r="P39" s="10">
        <f t="shared" si="94"/>
        <v>0.77567567567567575</v>
      </c>
      <c r="Q39" s="10">
        <f t="shared" si="94"/>
        <v>0.75544794188861986</v>
      </c>
      <c r="R39" s="10">
        <f>(R8-R11)/R8</f>
        <v>0.69773817683344752</v>
      </c>
      <c r="S39" s="10">
        <f t="shared" ref="S39:V39" si="95">(S8-S11)/S8</f>
        <v>0.66713384723195512</v>
      </c>
      <c r="T39" s="10">
        <f t="shared" si="95"/>
        <v>0.67</v>
      </c>
      <c r="U39" s="10">
        <f t="shared" si="95"/>
        <v>0.67</v>
      </c>
      <c r="V39" s="10">
        <f t="shared" si="95"/>
        <v>0.67</v>
      </c>
      <c r="X39" s="10">
        <f t="shared" ref="X39:AB39" si="96">(X8-X11)/X8</f>
        <v>0.97813121272365811</v>
      </c>
      <c r="Y39" s="10">
        <f t="shared" si="96"/>
        <v>0.8591251885369533</v>
      </c>
      <c r="Z39" s="10">
        <f t="shared" si="96"/>
        <v>0.78389937106918239</v>
      </c>
      <c r="AA39" s="10">
        <f t="shared" si="96"/>
        <v>0.75440049699730782</v>
      </c>
      <c r="AB39" s="10">
        <f t="shared" si="96"/>
        <v>0.66930588436950034</v>
      </c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2:41" x14ac:dyDescent="0.3">
      <c r="B40" t="s">
        <v>47</v>
      </c>
      <c r="I40" s="10">
        <f t="shared" ref="I40:L40" si="97">I13/I8</f>
        <v>0.81615925058548</v>
      </c>
      <c r="J40" s="10">
        <f t="shared" si="97"/>
        <v>0.80290456431535273</v>
      </c>
      <c r="K40" s="10">
        <f t="shared" si="97"/>
        <v>0.80597014925373123</v>
      </c>
      <c r="L40" s="10">
        <f t="shared" si="97"/>
        <v>0.76033934252386004</v>
      </c>
      <c r="M40" s="10">
        <f>M13/M8</f>
        <v>0.75438596491228072</v>
      </c>
      <c r="N40" s="10">
        <f t="shared" ref="N40:R40" si="98">N13/N8</f>
        <v>0.74801762114537451</v>
      </c>
      <c r="O40" s="10">
        <f t="shared" si="98"/>
        <v>0.76395690499510294</v>
      </c>
      <c r="P40" s="10">
        <f t="shared" si="98"/>
        <v>0.75045045045045045</v>
      </c>
      <c r="Q40" s="10">
        <f t="shared" si="98"/>
        <v>0.73365617433414043</v>
      </c>
      <c r="R40" s="10">
        <f t="shared" si="98"/>
        <v>0.67306374228923915</v>
      </c>
      <c r="S40" s="10">
        <f t="shared" ref="S40:V40" si="99">S13/S8</f>
        <v>0.6454099509460407</v>
      </c>
      <c r="T40" s="10">
        <f t="shared" si="99"/>
        <v>0.64</v>
      </c>
      <c r="U40" s="10">
        <f t="shared" si="99"/>
        <v>0.64</v>
      </c>
      <c r="V40" s="10">
        <f t="shared" si="99"/>
        <v>0.64</v>
      </c>
      <c r="X40" s="10">
        <f t="shared" ref="X40:AL40" si="100">X13/X8</f>
        <v>0.94552683896620282</v>
      </c>
      <c r="Y40" s="10">
        <f t="shared" si="100"/>
        <v>0.83529411764705874</v>
      </c>
      <c r="Z40" s="10">
        <f t="shared" si="100"/>
        <v>0.76528301886792449</v>
      </c>
      <c r="AA40" s="10">
        <f t="shared" si="100"/>
        <v>0.7256160695796231</v>
      </c>
      <c r="AB40" s="10">
        <f t="shared" si="100"/>
        <v>0.64131016446637101</v>
      </c>
      <c r="AC40" s="10">
        <f t="shared" si="100"/>
        <v>0.63</v>
      </c>
      <c r="AD40" s="10">
        <f t="shared" si="100"/>
        <v>0.63</v>
      </c>
      <c r="AE40" s="10">
        <f t="shared" si="100"/>
        <v>0.63</v>
      </c>
      <c r="AF40" s="10">
        <f t="shared" si="100"/>
        <v>0.63</v>
      </c>
      <c r="AG40" s="10">
        <f t="shared" si="100"/>
        <v>0.63</v>
      </c>
      <c r="AH40" s="10">
        <f t="shared" si="100"/>
        <v>0.63</v>
      </c>
      <c r="AI40" s="10">
        <f t="shared" si="100"/>
        <v>0.63</v>
      </c>
      <c r="AJ40" s="10">
        <f t="shared" si="100"/>
        <v>0.63</v>
      </c>
      <c r="AK40" s="10">
        <f t="shared" si="100"/>
        <v>0.63</v>
      </c>
      <c r="AL40" s="10">
        <f t="shared" si="100"/>
        <v>0.63</v>
      </c>
      <c r="AN40" t="s">
        <v>52</v>
      </c>
      <c r="AO40" s="10">
        <v>-0.01</v>
      </c>
    </row>
    <row r="41" spans="2:41" x14ac:dyDescent="0.3">
      <c r="B41" t="s">
        <v>48</v>
      </c>
      <c r="I41" s="10"/>
      <c r="J41" s="10"/>
      <c r="K41" s="10"/>
      <c r="L41" s="10"/>
      <c r="M41" s="10">
        <f>M14/I14-1</f>
        <v>0.14999999999999991</v>
      </c>
      <c r="N41" s="10">
        <f t="shared" ref="N41:R41" si="101">N14/J14-1</f>
        <v>-2.3696682464454999E-2</v>
      </c>
      <c r="O41" s="10">
        <f t="shared" si="101"/>
        <v>-0.18905472636815923</v>
      </c>
      <c r="P41" s="10">
        <f t="shared" si="101"/>
        <v>-7.4766355140186813E-2</v>
      </c>
      <c r="Q41" s="10">
        <f t="shared" si="101"/>
        <v>0.12077294685990347</v>
      </c>
      <c r="R41" s="10">
        <f t="shared" si="101"/>
        <v>-0.13592233009708743</v>
      </c>
      <c r="S41" s="10">
        <f t="shared" ref="S41" si="102">S14/O14-1</f>
        <v>7.9754601226993849E-2</v>
      </c>
      <c r="T41" s="10">
        <f t="shared" ref="T41" si="103">T14/P14-1</f>
        <v>-9.9999999999999978E-2</v>
      </c>
      <c r="U41" s="10">
        <f t="shared" ref="U41" si="104">U14/Q14-1</f>
        <v>-0.20000000000000007</v>
      </c>
      <c r="V41" s="10">
        <f t="shared" ref="V41" si="105">V14/R14-1</f>
        <v>5.0000000000000044E-2</v>
      </c>
      <c r="X41" s="10"/>
      <c r="Y41" s="10">
        <f>Y14/X14-1</f>
        <v>1.3422818791946067E-3</v>
      </c>
      <c r="Z41" s="10">
        <f t="shared" ref="Z41:AL41" si="106">Z14/Y14-1</f>
        <v>0.1099195710455767</v>
      </c>
      <c r="AA41" s="10">
        <f t="shared" si="106"/>
        <v>-6.8840579710145122E-2</v>
      </c>
      <c r="AB41" s="10">
        <f t="shared" si="106"/>
        <v>-5.7457846952010283E-2</v>
      </c>
      <c r="AC41" s="10">
        <f t="shared" si="106"/>
        <v>8.0000000000000071E-2</v>
      </c>
      <c r="AD41" s="10">
        <f t="shared" si="106"/>
        <v>5.0000000000000044E-2</v>
      </c>
      <c r="AE41" s="10">
        <f t="shared" si="106"/>
        <v>4.0000000000000036E-2</v>
      </c>
      <c r="AF41" s="10">
        <f t="shared" si="106"/>
        <v>3.0000000000000027E-2</v>
      </c>
      <c r="AG41" s="10">
        <f t="shared" si="106"/>
        <v>3.0000000000000027E-2</v>
      </c>
      <c r="AH41" s="10">
        <f t="shared" si="106"/>
        <v>1.0000000000000009E-2</v>
      </c>
      <c r="AI41" s="10">
        <f t="shared" si="106"/>
        <v>1.0000000000000009E-2</v>
      </c>
      <c r="AJ41" s="10">
        <f t="shared" si="106"/>
        <v>1.0000000000000009E-2</v>
      </c>
      <c r="AK41" s="10">
        <f t="shared" si="106"/>
        <v>1.0000000000000009E-2</v>
      </c>
      <c r="AL41" s="10">
        <f t="shared" si="106"/>
        <v>1.0000000000000009E-2</v>
      </c>
      <c r="AN41" t="s">
        <v>53</v>
      </c>
      <c r="AO41" s="10">
        <v>0.1</v>
      </c>
    </row>
    <row r="42" spans="2:41" x14ac:dyDescent="0.3">
      <c r="B42" t="s">
        <v>49</v>
      </c>
      <c r="I42" s="10">
        <f t="shared" ref="I42:L42" si="107">I16/I8</f>
        <v>0.3044496487119438</v>
      </c>
      <c r="J42" s="10">
        <f t="shared" si="107"/>
        <v>0.30705394190871371</v>
      </c>
      <c r="K42" s="10">
        <f t="shared" si="107"/>
        <v>0.28013777267508611</v>
      </c>
      <c r="L42" s="10">
        <f t="shared" si="107"/>
        <v>0.28632025450689297</v>
      </c>
      <c r="M42" s="10">
        <f>M16/M8</f>
        <v>0.27680311890838205</v>
      </c>
      <c r="N42" s="10">
        <f t="shared" ref="N42:R42" si="108">N16/N8</f>
        <v>0.26519823788546254</v>
      </c>
      <c r="O42" s="10">
        <f t="shared" si="108"/>
        <v>0.28893241919686585</v>
      </c>
      <c r="P42" s="10">
        <f t="shared" si="108"/>
        <v>0.26126126126126131</v>
      </c>
      <c r="Q42" s="10">
        <f t="shared" si="108"/>
        <v>0.2623083131557708</v>
      </c>
      <c r="R42" s="10">
        <f t="shared" si="108"/>
        <v>0.28032899246058945</v>
      </c>
      <c r="S42" s="10">
        <f t="shared" ref="S42:V42" si="109">S16/S8</f>
        <v>0.23966362999299234</v>
      </c>
      <c r="T42" s="10">
        <f t="shared" si="109"/>
        <v>0.23999999999999996</v>
      </c>
      <c r="U42" s="10">
        <f t="shared" si="109"/>
        <v>0.24</v>
      </c>
      <c r="V42" s="10">
        <f t="shared" si="109"/>
        <v>0.24</v>
      </c>
      <c r="X42" s="10">
        <f t="shared" ref="X42:AL42" si="110">X16/X8</f>
        <v>0.48071570576540756</v>
      </c>
      <c r="Y42" s="10">
        <f t="shared" si="110"/>
        <v>0.34690799396681749</v>
      </c>
      <c r="Z42" s="10">
        <f t="shared" si="110"/>
        <v>0.27647798742138369</v>
      </c>
      <c r="AA42" s="10">
        <f t="shared" si="110"/>
        <v>0.27314143715054878</v>
      </c>
      <c r="AB42" s="10">
        <f t="shared" si="110"/>
        <v>0.23991853899690957</v>
      </c>
      <c r="AC42" s="10">
        <f t="shared" si="110"/>
        <v>0.23</v>
      </c>
      <c r="AD42" s="10">
        <f t="shared" si="110"/>
        <v>0.22</v>
      </c>
      <c r="AE42" s="10">
        <f t="shared" si="110"/>
        <v>0.21999999999999997</v>
      </c>
      <c r="AF42" s="10">
        <f t="shared" si="110"/>
        <v>0.22</v>
      </c>
      <c r="AG42" s="10">
        <f t="shared" si="110"/>
        <v>0.22</v>
      </c>
      <c r="AH42" s="10">
        <f t="shared" si="110"/>
        <v>0.22</v>
      </c>
      <c r="AI42" s="10">
        <f t="shared" si="110"/>
        <v>0.22</v>
      </c>
      <c r="AJ42" s="10">
        <f t="shared" si="110"/>
        <v>0.22</v>
      </c>
      <c r="AK42" s="10">
        <f t="shared" si="110"/>
        <v>0.22</v>
      </c>
      <c r="AL42" s="10">
        <f t="shared" si="110"/>
        <v>0.22</v>
      </c>
      <c r="AN42" t="s">
        <v>54</v>
      </c>
      <c r="AO42" s="3">
        <f>NPV(AO41,AB29:EN29)</f>
        <v>1555.176608083834</v>
      </c>
    </row>
    <row r="43" spans="2:41" x14ac:dyDescent="0.3">
      <c r="B43" t="s">
        <v>50</v>
      </c>
      <c r="I43" s="10">
        <f t="shared" ref="I43:L43" si="111">I22/I8</f>
        <v>0.18969555035128802</v>
      </c>
      <c r="J43" s="10">
        <f t="shared" si="111"/>
        <v>0.12136929460580902</v>
      </c>
      <c r="K43" s="10">
        <f t="shared" si="111"/>
        <v>0.158438576349024</v>
      </c>
      <c r="L43" s="10">
        <f t="shared" si="111"/>
        <v>0.13255567338282073</v>
      </c>
      <c r="M43" s="10">
        <f>M22/M8</f>
        <v>0.15594541910331378</v>
      </c>
      <c r="N43" s="10">
        <f t="shared" ref="N43:R43" si="112">N22/N8</f>
        <v>0.17973568281938332</v>
      </c>
      <c r="O43" s="10">
        <f t="shared" si="112"/>
        <v>0.19000979431929474</v>
      </c>
      <c r="P43" s="10">
        <f t="shared" si="112"/>
        <v>0.19729729729729725</v>
      </c>
      <c r="Q43" s="10">
        <f t="shared" si="112"/>
        <v>0.18886198547215491</v>
      </c>
      <c r="R43" s="10">
        <f t="shared" si="112"/>
        <v>0.18848526387936926</v>
      </c>
      <c r="S43" s="10">
        <f t="shared" ref="S43:V43" si="113">S22/S8</f>
        <v>0.14856341976173784</v>
      </c>
      <c r="T43" s="10">
        <f t="shared" si="113"/>
        <v>0.1946210268948656</v>
      </c>
      <c r="U43" s="10">
        <f t="shared" si="113"/>
        <v>0.17941425542149084</v>
      </c>
      <c r="V43" s="10">
        <f t="shared" si="113"/>
        <v>0.18085951982931892</v>
      </c>
      <c r="X43" s="10">
        <f t="shared" ref="X43:AL43" si="114">X22/X8</f>
        <v>-2.4652087475149059E-2</v>
      </c>
      <c r="Y43" s="10">
        <f t="shared" si="114"/>
        <v>0.1224736048265459</v>
      </c>
      <c r="Z43" s="10">
        <f t="shared" si="114"/>
        <v>0.15773584905660362</v>
      </c>
      <c r="AA43" s="10">
        <f t="shared" si="114"/>
        <v>0.19631393663284327</v>
      </c>
      <c r="AB43" s="10">
        <f t="shared" si="114"/>
        <v>0.18743769506091751</v>
      </c>
      <c r="AC43" s="10">
        <f t="shared" si="114"/>
        <v>0.20230925782075163</v>
      </c>
      <c r="AD43" s="10">
        <f t="shared" si="114"/>
        <v>0.22344667733314974</v>
      </c>
      <c r="AE43" s="10">
        <f t="shared" si="114"/>
        <v>0.22761756343091444</v>
      </c>
      <c r="AF43" s="10">
        <f t="shared" si="114"/>
        <v>0.22983567682385109</v>
      </c>
      <c r="AG43" s="10">
        <f t="shared" si="114"/>
        <v>0.23073790165081079</v>
      </c>
      <c r="AH43" s="10">
        <f t="shared" si="114"/>
        <v>0.23255350564082578</v>
      </c>
      <c r="AI43" s="10">
        <f t="shared" si="114"/>
        <v>0.23435521213271174</v>
      </c>
      <c r="AJ43" s="10">
        <f t="shared" si="114"/>
        <v>0.23614341584460175</v>
      </c>
      <c r="AK43" s="10">
        <f t="shared" si="114"/>
        <v>0.23791852421338491</v>
      </c>
      <c r="AL43" s="10">
        <f t="shared" si="114"/>
        <v>0.23968095825450927</v>
      </c>
      <c r="AN43" t="s">
        <v>55</v>
      </c>
      <c r="AO43" s="3">
        <f>Main!D8</f>
        <v>126.8</v>
      </c>
    </row>
    <row r="44" spans="2:41" x14ac:dyDescent="0.3">
      <c r="B44" t="s">
        <v>42</v>
      </c>
      <c r="I44" s="10">
        <f t="shared" ref="I44:L44" si="115">I28/I27</f>
        <v>0.35616438356164393</v>
      </c>
      <c r="J44" s="10">
        <f t="shared" si="115"/>
        <v>-3.4825870646766191E-2</v>
      </c>
      <c r="K44" s="10">
        <f t="shared" si="115"/>
        <v>0.17741935483870977</v>
      </c>
      <c r="L44" s="10">
        <f t="shared" si="115"/>
        <v>7.4829931972789157E-2</v>
      </c>
      <c r="M44" s="10">
        <f>M28/M27</f>
        <v>1.1764705882352946E-2</v>
      </c>
      <c r="N44" s="10">
        <f t="shared" ref="N44:R44" si="116">N28/N27</f>
        <v>1.9178082191780819E-2</v>
      </c>
      <c r="O44" s="10">
        <f t="shared" si="116"/>
        <v>0.23711340206185574</v>
      </c>
      <c r="P44" s="10">
        <f t="shared" si="116"/>
        <v>0.12727272727272732</v>
      </c>
      <c r="Q44" s="10">
        <f t="shared" si="116"/>
        <v>0.20869565217391309</v>
      </c>
      <c r="R44" s="10">
        <f t="shared" si="116"/>
        <v>0.15634218289085558</v>
      </c>
      <c r="S44" s="10">
        <f t="shared" ref="S44:V44" si="117">S28/S27</f>
        <v>0.11904761904761911</v>
      </c>
      <c r="T44" s="10">
        <f t="shared" si="117"/>
        <v>0.15</v>
      </c>
      <c r="U44" s="10">
        <f t="shared" si="117"/>
        <v>0.15</v>
      </c>
      <c r="V44" s="10">
        <f t="shared" si="117"/>
        <v>0.15</v>
      </c>
      <c r="X44" s="10">
        <f t="shared" ref="X44:AL44" si="118">X28/X27</f>
        <v>0</v>
      </c>
      <c r="Y44" s="10">
        <f t="shared" si="118"/>
        <v>0.3682008368200842</v>
      </c>
      <c r="Z44" s="10">
        <f t="shared" si="118"/>
        <v>4.1927409261576995E-2</v>
      </c>
      <c r="AA44" s="10">
        <f t="shared" si="118"/>
        <v>0.1734390485629336</v>
      </c>
      <c r="AB44" s="10">
        <f t="shared" si="118"/>
        <v>0.13538574567135506</v>
      </c>
      <c r="AC44" s="10">
        <f t="shared" si="118"/>
        <v>0.15</v>
      </c>
      <c r="AD44" s="10">
        <f t="shared" si="118"/>
        <v>0.15</v>
      </c>
      <c r="AE44" s="10">
        <f t="shared" si="118"/>
        <v>0.15</v>
      </c>
      <c r="AF44" s="10">
        <f t="shared" si="118"/>
        <v>0.15</v>
      </c>
      <c r="AG44" s="10">
        <f t="shared" si="118"/>
        <v>0.15</v>
      </c>
      <c r="AH44" s="10">
        <f t="shared" si="118"/>
        <v>0.15</v>
      </c>
      <c r="AI44" s="10">
        <f t="shared" si="118"/>
        <v>0.15</v>
      </c>
      <c r="AJ44" s="10">
        <f t="shared" si="118"/>
        <v>0.15</v>
      </c>
      <c r="AK44" s="10">
        <f t="shared" si="118"/>
        <v>0.15</v>
      </c>
      <c r="AL44" s="10">
        <f t="shared" si="118"/>
        <v>0.15</v>
      </c>
      <c r="AN44" t="s">
        <v>56</v>
      </c>
      <c r="AO44" s="3">
        <f>AO42+AO43</f>
        <v>1681.976608083834</v>
      </c>
    </row>
    <row r="45" spans="2:41" x14ac:dyDescent="0.3">
      <c r="B45" t="s">
        <v>51</v>
      </c>
      <c r="I45" s="10">
        <f t="shared" ref="I45:L45" si="119">I29/I8</f>
        <v>0.11007025761124117</v>
      </c>
      <c r="J45" s="10">
        <f t="shared" si="119"/>
        <v>0.21576763485477166</v>
      </c>
      <c r="K45" s="10">
        <f t="shared" si="119"/>
        <v>0.17566016073478749</v>
      </c>
      <c r="L45" s="10">
        <f t="shared" si="119"/>
        <v>0.14422057264050897</v>
      </c>
      <c r="M45" s="10">
        <f>M29/M8</f>
        <v>0.16374269005847947</v>
      </c>
      <c r="N45" s="10">
        <f t="shared" ref="N45:R45" si="120">N29/N8</f>
        <v>0.94625550660792968</v>
      </c>
      <c r="O45" s="10">
        <f t="shared" si="120"/>
        <v>0.1449559255631733</v>
      </c>
      <c r="P45" s="10">
        <f t="shared" si="120"/>
        <v>0.17297297297297293</v>
      </c>
      <c r="Q45" s="10">
        <f t="shared" si="120"/>
        <v>0.14689265536723159</v>
      </c>
      <c r="R45" s="10">
        <f t="shared" si="120"/>
        <v>0.19602467443454402</v>
      </c>
      <c r="S45" s="10">
        <f t="shared" ref="S45:V45" si="121">S29/S8</f>
        <v>0.12964260686755424</v>
      </c>
      <c r="T45" s="10">
        <f t="shared" si="121"/>
        <v>0.17128206894176803</v>
      </c>
      <c r="U45" s="10">
        <f t="shared" si="121"/>
        <v>0.15826065159511404</v>
      </c>
      <c r="V45" s="10">
        <f t="shared" si="121"/>
        <v>0.15925951462562687</v>
      </c>
      <c r="X45" s="10">
        <f t="shared" ref="X45:AL45" si="122">X29/X8</f>
        <v>-0.1709741550695825</v>
      </c>
      <c r="Y45" s="10">
        <f t="shared" si="122"/>
        <v>4.5550527903468974E-2</v>
      </c>
      <c r="Z45" s="10">
        <f t="shared" si="122"/>
        <v>0.38515723270440239</v>
      </c>
      <c r="AA45" s="10">
        <f t="shared" si="122"/>
        <v>0.17270656450610894</v>
      </c>
      <c r="AB45" s="10">
        <f t="shared" si="122"/>
        <v>0.16616985637406886</v>
      </c>
      <c r="AC45" s="10">
        <f t="shared" si="122"/>
        <v>0.17568543105611689</v>
      </c>
      <c r="AD45" s="10">
        <f t="shared" si="122"/>
        <v>0.19336183082408351</v>
      </c>
      <c r="AE45" s="10">
        <f t="shared" si="122"/>
        <v>0.19677131412912857</v>
      </c>
      <c r="AF45" s="10">
        <f t="shared" si="122"/>
        <v>0.19857776106089689</v>
      </c>
      <c r="AG45" s="10">
        <f t="shared" si="122"/>
        <v>0.19929004865685626</v>
      </c>
      <c r="AH45" s="10">
        <f t="shared" si="122"/>
        <v>0.20080127822241034</v>
      </c>
      <c r="AI45" s="10">
        <f t="shared" si="122"/>
        <v>0.20230094011672364</v>
      </c>
      <c r="AJ45" s="10">
        <f t="shared" si="122"/>
        <v>0.20378936288595287</v>
      </c>
      <c r="AK45" s="10">
        <f t="shared" si="122"/>
        <v>0.20526688566279219</v>
      </c>
      <c r="AL45" s="10">
        <f t="shared" si="122"/>
        <v>0.20673385888213616</v>
      </c>
      <c r="AN45" t="s">
        <v>57</v>
      </c>
      <c r="AO45" s="2">
        <f>AO44/AL30</f>
        <v>18.793034727193675</v>
      </c>
    </row>
    <row r="46" spans="2:41" x14ac:dyDescent="0.3">
      <c r="AN46" t="s">
        <v>58</v>
      </c>
      <c r="AO46" s="2">
        <f>Main!D3</f>
        <v>16.87</v>
      </c>
    </row>
    <row r="47" spans="2:41" x14ac:dyDescent="0.3">
      <c r="AN47" s="1" t="s">
        <v>59</v>
      </c>
      <c r="AO47" s="9">
        <f>AO45/AO46-1</f>
        <v>0.11399138868960712</v>
      </c>
    </row>
    <row r="48" spans="2:41" s="1" customFormat="1" x14ac:dyDescent="0.3">
      <c r="B48" s="1" t="s">
        <v>45</v>
      </c>
      <c r="K48" s="8">
        <f t="shared" ref="K48:R48" si="123">K27</f>
        <v>18.599999999999991</v>
      </c>
      <c r="L48" s="8">
        <f t="shared" si="123"/>
        <v>14.699999999999992</v>
      </c>
      <c r="M48" s="8">
        <f t="shared" si="123"/>
        <v>16.999999999999993</v>
      </c>
      <c r="N48" s="8">
        <f t="shared" si="123"/>
        <v>109.50000000000001</v>
      </c>
      <c r="O48" s="8">
        <f t="shared" si="123"/>
        <v>19.399999999999991</v>
      </c>
      <c r="P48" s="8">
        <f t="shared" si="123"/>
        <v>21.999999999999993</v>
      </c>
      <c r="Q48" s="8">
        <f t="shared" si="123"/>
        <v>22.999999999999993</v>
      </c>
      <c r="R48" s="8">
        <f t="shared" si="123"/>
        <v>33.89999999999997</v>
      </c>
      <c r="Z48" s="8">
        <f>Z27</f>
        <v>159.79999999999993</v>
      </c>
      <c r="AA48" s="8">
        <f>AA27</f>
        <v>100.9</v>
      </c>
      <c r="AB48" s="8">
        <f t="shared" ref="AB48:AL48" si="124">AB27</f>
        <v>113.24559999999995</v>
      </c>
      <c r="AC48" s="8">
        <f t="shared" si="124"/>
        <v>138.23346399999994</v>
      </c>
      <c r="AD48" s="8">
        <f t="shared" si="124"/>
        <v>166.66507059200003</v>
      </c>
      <c r="AE48" s="8">
        <f t="shared" si="124"/>
        <v>178.35527070432005</v>
      </c>
      <c r="AF48" s="8">
        <f t="shared" si="124"/>
        <v>186.25340380022882</v>
      </c>
      <c r="AG48" s="8">
        <f t="shared" si="124"/>
        <v>192.05000422113105</v>
      </c>
      <c r="AH48" s="8">
        <f t="shared" si="124"/>
        <v>197.44112029629474</v>
      </c>
      <c r="AI48" s="8">
        <f t="shared" si="124"/>
        <v>202.96565994374922</v>
      </c>
      <c r="AJ48" s="8">
        <f t="shared" si="124"/>
        <v>208.62755765653591</v>
      </c>
      <c r="AK48" s="8">
        <f t="shared" si="124"/>
        <v>214.43094027868239</v>
      </c>
      <c r="AL48" s="8">
        <f t="shared" si="124"/>
        <v>220.38014208892315</v>
      </c>
      <c r="AN48" t="s">
        <v>60</v>
      </c>
      <c r="AO48" s="6" t="s">
        <v>98</v>
      </c>
    </row>
    <row r="49" spans="2:41" x14ac:dyDescent="0.3">
      <c r="B49" t="s">
        <v>71</v>
      </c>
      <c r="K49" s="3">
        <v>-4.8</v>
      </c>
      <c r="L49" s="3">
        <v>-2.2000000000000002</v>
      </c>
      <c r="M49" s="3">
        <v>-1</v>
      </c>
      <c r="N49" s="3">
        <v>0.7</v>
      </c>
      <c r="O49" s="3">
        <v>0.1</v>
      </c>
      <c r="P49" s="3">
        <v>-0.2</v>
      </c>
      <c r="Q49" s="3">
        <v>0.4</v>
      </c>
      <c r="R49" s="3">
        <v>-1.5</v>
      </c>
      <c r="Z49" s="3">
        <f>SUM(K49:N49)</f>
        <v>-7.3</v>
      </c>
      <c r="AA49" s="3">
        <f>SUM(O49:R49)</f>
        <v>-1.2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</row>
    <row r="50" spans="2:41" x14ac:dyDescent="0.3">
      <c r="B50" t="s">
        <v>72</v>
      </c>
      <c r="K50" s="3"/>
      <c r="L50" s="3"/>
      <c r="M50" s="3"/>
      <c r="N50" s="3">
        <v>-89.8</v>
      </c>
      <c r="O50" s="3"/>
      <c r="P50" s="3"/>
      <c r="Q50" s="3"/>
      <c r="R50" s="3">
        <v>-5</v>
      </c>
      <c r="Z50" s="3">
        <f t="shared" ref="Z50:Z61" si="125">SUM(K50:N50)</f>
        <v>-89.8</v>
      </c>
      <c r="AA50" s="3">
        <f t="shared" ref="AA50:AA61" si="126">SUM(O50:R50)</f>
        <v>-5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O50" t="s">
        <v>97</v>
      </c>
    </row>
    <row r="51" spans="2:41" x14ac:dyDescent="0.3">
      <c r="B51" t="s">
        <v>73</v>
      </c>
      <c r="K51" s="3"/>
      <c r="L51" s="3"/>
      <c r="M51" s="3"/>
      <c r="N51" s="3">
        <v>0</v>
      </c>
      <c r="O51" s="3"/>
      <c r="P51" s="3"/>
      <c r="Q51" s="3"/>
      <c r="R51" s="3">
        <v>0</v>
      </c>
      <c r="Z51" s="3">
        <f t="shared" si="125"/>
        <v>0</v>
      </c>
      <c r="AA51" s="3">
        <f t="shared" si="126"/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</row>
    <row r="52" spans="2:41" x14ac:dyDescent="0.3">
      <c r="B52" t="s">
        <v>74</v>
      </c>
      <c r="K52" s="3"/>
      <c r="L52" s="3"/>
      <c r="M52" s="3">
        <v>0.6</v>
      </c>
      <c r="N52" s="3">
        <v>0.1</v>
      </c>
      <c r="O52" s="3"/>
      <c r="P52" s="3"/>
      <c r="Q52" s="3">
        <v>0</v>
      </c>
      <c r="R52" s="3">
        <v>0.1</v>
      </c>
      <c r="Z52" s="3">
        <f t="shared" si="125"/>
        <v>0.7</v>
      </c>
      <c r="AA52" s="3">
        <f t="shared" si="126"/>
        <v>0.1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</row>
    <row r="53" spans="2:41" x14ac:dyDescent="0.3">
      <c r="B53" t="s">
        <v>33</v>
      </c>
      <c r="K53" s="3">
        <v>3.4</v>
      </c>
      <c r="L53" s="3">
        <v>3.4</v>
      </c>
      <c r="M53" s="3">
        <v>3.2</v>
      </c>
      <c r="N53" s="3">
        <v>3.2</v>
      </c>
      <c r="O53" s="3">
        <v>3.1</v>
      </c>
      <c r="P53" s="3">
        <v>4</v>
      </c>
      <c r="Q53" s="3">
        <v>4.0999999999999996</v>
      </c>
      <c r="R53" s="3">
        <v>4.4000000000000004</v>
      </c>
      <c r="Z53" s="3">
        <f t="shared" si="125"/>
        <v>13.2</v>
      </c>
      <c r="AA53" s="3">
        <f t="shared" si="126"/>
        <v>15.6</v>
      </c>
      <c r="AB53" s="3">
        <f>AA53*1.02</f>
        <v>15.911999999999999</v>
      </c>
      <c r="AC53" s="3">
        <f t="shared" ref="AC53:AL53" si="127">AB53*1.02</f>
        <v>16.230239999999998</v>
      </c>
      <c r="AD53" s="3">
        <f t="shared" si="127"/>
        <v>16.554844799999998</v>
      </c>
      <c r="AE53" s="3">
        <f t="shared" si="127"/>
        <v>16.885941696</v>
      </c>
      <c r="AF53" s="3">
        <f t="shared" si="127"/>
        <v>17.22366052992</v>
      </c>
      <c r="AG53" s="3">
        <f t="shared" si="127"/>
        <v>17.568133740518402</v>
      </c>
      <c r="AH53" s="3">
        <f t="shared" si="127"/>
        <v>17.919496415328769</v>
      </c>
      <c r="AI53" s="3">
        <f t="shared" si="127"/>
        <v>18.277886343635345</v>
      </c>
      <c r="AJ53" s="3">
        <f t="shared" si="127"/>
        <v>18.643444070508053</v>
      </c>
      <c r="AK53" s="3">
        <f t="shared" si="127"/>
        <v>19.016312951918216</v>
      </c>
      <c r="AL53" s="3">
        <f t="shared" si="127"/>
        <v>19.396639210956582</v>
      </c>
    </row>
    <row r="54" spans="2:41" x14ac:dyDescent="0.3">
      <c r="B54" t="s">
        <v>75</v>
      </c>
      <c r="K54" s="3">
        <v>3.4</v>
      </c>
      <c r="L54" s="3">
        <v>3.7</v>
      </c>
      <c r="M54" s="3">
        <v>3.8</v>
      </c>
      <c r="N54" s="3">
        <v>3.9</v>
      </c>
      <c r="O54" s="3">
        <v>2.2000000000000002</v>
      </c>
      <c r="P54" s="3">
        <v>2.1</v>
      </c>
      <c r="Q54" s="3">
        <v>3.6</v>
      </c>
      <c r="R54" s="3">
        <v>0.9</v>
      </c>
      <c r="Z54" s="3">
        <f t="shared" si="125"/>
        <v>14.799999999999999</v>
      </c>
      <c r="AA54" s="3">
        <f t="shared" si="126"/>
        <v>8.8000000000000007</v>
      </c>
      <c r="AB54" s="3">
        <f>AA54*0.8</f>
        <v>7.0400000000000009</v>
      </c>
      <c r="AC54" s="3">
        <f t="shared" ref="AC54:AL54" si="128">AB54*0.8</f>
        <v>5.6320000000000014</v>
      </c>
      <c r="AD54" s="3">
        <f t="shared" si="128"/>
        <v>4.5056000000000012</v>
      </c>
      <c r="AE54" s="3">
        <f t="shared" si="128"/>
        <v>3.604480000000001</v>
      </c>
      <c r="AF54" s="3">
        <f t="shared" si="128"/>
        <v>2.8835840000000008</v>
      </c>
      <c r="AG54" s="3">
        <f t="shared" si="128"/>
        <v>2.3068672000000006</v>
      </c>
      <c r="AH54" s="3">
        <f t="shared" si="128"/>
        <v>1.8454937600000005</v>
      </c>
      <c r="AI54" s="3">
        <f t="shared" si="128"/>
        <v>1.4763950080000006</v>
      </c>
      <c r="AJ54" s="3">
        <f t="shared" si="128"/>
        <v>1.1811160064000006</v>
      </c>
      <c r="AK54" s="3">
        <f t="shared" si="128"/>
        <v>0.94489280512000051</v>
      </c>
      <c r="AL54" s="3">
        <f t="shared" si="128"/>
        <v>0.7559142440960005</v>
      </c>
    </row>
    <row r="55" spans="2:41" x14ac:dyDescent="0.3">
      <c r="B55" t="s">
        <v>76</v>
      </c>
      <c r="K55" s="3">
        <v>-0.3</v>
      </c>
      <c r="L55" s="3">
        <v>0.5</v>
      </c>
      <c r="M55" s="3">
        <v>-0.3</v>
      </c>
      <c r="N55" s="3">
        <v>-0.2</v>
      </c>
      <c r="O55" s="3">
        <v>-0.6</v>
      </c>
      <c r="P55" s="3">
        <v>1.2</v>
      </c>
      <c r="Q55" s="3">
        <v>-0.3</v>
      </c>
      <c r="R55" s="3">
        <v>-0.4</v>
      </c>
      <c r="Z55" s="3">
        <f t="shared" si="125"/>
        <v>-0.3</v>
      </c>
      <c r="AA55" s="3">
        <f t="shared" si="126"/>
        <v>-0.10000000000000003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</row>
    <row r="56" spans="2:41" x14ac:dyDescent="0.3">
      <c r="B56" t="s">
        <v>77</v>
      </c>
      <c r="K56" s="3">
        <v>6.3</v>
      </c>
      <c r="L56" s="3">
        <v>-3.9</v>
      </c>
      <c r="M56" s="3">
        <v>-5.0999999999999996</v>
      </c>
      <c r="N56" s="3">
        <v>-14.9</v>
      </c>
      <c r="O56" s="3">
        <v>8.3000000000000007</v>
      </c>
      <c r="P56" s="3">
        <v>-1.8</v>
      </c>
      <c r="Q56" s="3">
        <v>-8.5</v>
      </c>
      <c r="R56" s="3">
        <v>-18.2</v>
      </c>
      <c r="Z56" s="3">
        <f t="shared" si="125"/>
        <v>-17.600000000000001</v>
      </c>
      <c r="AA56" s="3">
        <f t="shared" si="126"/>
        <v>-20.2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</row>
    <row r="57" spans="2:41" x14ac:dyDescent="0.3">
      <c r="B57" t="s">
        <v>78</v>
      </c>
      <c r="K57" s="3">
        <v>-0.5</v>
      </c>
      <c r="L57" s="3">
        <v>-0.4</v>
      </c>
      <c r="M57" s="3">
        <v>-1.3</v>
      </c>
      <c r="N57" s="3">
        <v>1.2</v>
      </c>
      <c r="O57" s="3">
        <v>0.1</v>
      </c>
      <c r="P57" s="3">
        <v>1.2</v>
      </c>
      <c r="Q57" s="3">
        <v>-0.1</v>
      </c>
      <c r="R57" s="3">
        <v>-3</v>
      </c>
      <c r="Z57" s="3">
        <f t="shared" si="125"/>
        <v>-1.0000000000000002</v>
      </c>
      <c r="AA57" s="3">
        <f t="shared" si="126"/>
        <v>-1.8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</row>
    <row r="58" spans="2:41" x14ac:dyDescent="0.3">
      <c r="B58" t="s">
        <v>79</v>
      </c>
      <c r="K58" s="3">
        <v>-4.0999999999999996</v>
      </c>
      <c r="L58" s="3">
        <v>4.4000000000000004</v>
      </c>
      <c r="M58" s="3">
        <v>-0.4</v>
      </c>
      <c r="N58" s="3">
        <v>5.4</v>
      </c>
      <c r="O58" s="3">
        <v>0.5</v>
      </c>
      <c r="P58" s="3">
        <v>0.3</v>
      </c>
      <c r="Q58" s="3">
        <v>10.7</v>
      </c>
      <c r="R58" s="3">
        <v>11.6</v>
      </c>
      <c r="Z58" s="3">
        <f t="shared" si="125"/>
        <v>5.3000000000000007</v>
      </c>
      <c r="AA58" s="3">
        <f t="shared" si="126"/>
        <v>23.1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</row>
    <row r="59" spans="2:41" x14ac:dyDescent="0.3">
      <c r="B59" t="s">
        <v>80</v>
      </c>
      <c r="K59" s="3">
        <v>6</v>
      </c>
      <c r="L59" s="3">
        <v>-2.1</v>
      </c>
      <c r="M59" s="3">
        <v>-1.7</v>
      </c>
      <c r="N59" s="3">
        <v>7.1</v>
      </c>
      <c r="O59" s="3">
        <v>-2.6</v>
      </c>
      <c r="P59" s="3">
        <v>-2.6</v>
      </c>
      <c r="Q59" s="3">
        <v>-1.7</v>
      </c>
      <c r="R59" s="3">
        <v>2</v>
      </c>
      <c r="Z59" s="3">
        <f t="shared" si="125"/>
        <v>9.3000000000000007</v>
      </c>
      <c r="AA59" s="3">
        <f t="shared" si="126"/>
        <v>-4.9000000000000004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</row>
    <row r="60" spans="2:41" x14ac:dyDescent="0.3">
      <c r="B60" t="s">
        <v>81</v>
      </c>
      <c r="K60" s="3">
        <v>-2.2999999999999998</v>
      </c>
      <c r="L60" s="3">
        <v>0.7</v>
      </c>
      <c r="M60" s="3">
        <v>1.8</v>
      </c>
      <c r="N60" s="3">
        <v>1</v>
      </c>
      <c r="O60" s="3">
        <v>0.7</v>
      </c>
      <c r="P60" s="3">
        <v>-4.9000000000000004</v>
      </c>
      <c r="Q60" s="3">
        <v>4</v>
      </c>
      <c r="R60" s="3">
        <v>0.1</v>
      </c>
      <c r="Z60" s="3">
        <f t="shared" si="125"/>
        <v>1.2000000000000002</v>
      </c>
      <c r="AA60" s="3">
        <f t="shared" si="126"/>
        <v>-0.10000000000000017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</row>
    <row r="61" spans="2:41" x14ac:dyDescent="0.3">
      <c r="B61" t="s">
        <v>42</v>
      </c>
      <c r="K61" s="3">
        <v>-0.2</v>
      </c>
      <c r="L61" s="3">
        <v>-3.4</v>
      </c>
      <c r="M61" s="3">
        <v>-0.5</v>
      </c>
      <c r="N61" s="3">
        <v>-1.9</v>
      </c>
      <c r="O61" s="3">
        <v>-0.2</v>
      </c>
      <c r="P61" s="3">
        <v>-4</v>
      </c>
      <c r="Q61" s="3">
        <v>-0.1</v>
      </c>
      <c r="R61" s="3">
        <v>-3.4</v>
      </c>
      <c r="Z61" s="3">
        <f t="shared" si="125"/>
        <v>-6</v>
      </c>
      <c r="AA61" s="3">
        <f t="shared" si="126"/>
        <v>-7.6999999999999993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</row>
    <row r="62" spans="2:41" s="1" customFormat="1" x14ac:dyDescent="0.3">
      <c r="B62" s="1" t="s">
        <v>82</v>
      </c>
      <c r="K62" s="8">
        <f t="shared" ref="K62:R62" si="129">K48+SUM(K49:K61)</f>
        <v>25.499999999999993</v>
      </c>
      <c r="L62" s="8">
        <f t="shared" si="129"/>
        <v>15.399999999999993</v>
      </c>
      <c r="M62" s="8">
        <f t="shared" si="129"/>
        <v>16.099999999999994</v>
      </c>
      <c r="N62" s="8">
        <f t="shared" si="129"/>
        <v>25.300000000000011</v>
      </c>
      <c r="O62" s="8">
        <f t="shared" si="129"/>
        <v>30.999999999999993</v>
      </c>
      <c r="P62" s="8">
        <f t="shared" si="129"/>
        <v>17.299999999999994</v>
      </c>
      <c r="Q62" s="8">
        <f t="shared" si="129"/>
        <v>35.099999999999994</v>
      </c>
      <c r="R62" s="8">
        <f t="shared" si="129"/>
        <v>21.499999999999972</v>
      </c>
      <c r="Z62" s="8">
        <f>Z48+SUM(Z49:Z61)</f>
        <v>82.29999999999994</v>
      </c>
      <c r="AA62" s="8">
        <f>AA48+SUM(AA49:AA61)</f>
        <v>107.5</v>
      </c>
      <c r="AB62" s="8">
        <f t="shared" ref="AB62:AL62" si="130">AB48+SUM(AB49:AB61)</f>
        <v>136.19759999999997</v>
      </c>
      <c r="AC62" s="8">
        <f t="shared" si="130"/>
        <v>160.09570399999996</v>
      </c>
      <c r="AD62" s="8">
        <f t="shared" si="130"/>
        <v>187.72551539200003</v>
      </c>
      <c r="AE62" s="8">
        <f t="shared" si="130"/>
        <v>198.84569240032005</v>
      </c>
      <c r="AF62" s="8">
        <f t="shared" si="130"/>
        <v>206.36064833014882</v>
      </c>
      <c r="AG62" s="8">
        <f t="shared" si="130"/>
        <v>211.92500516164944</v>
      </c>
      <c r="AH62" s="8">
        <f t="shared" si="130"/>
        <v>217.2061104716235</v>
      </c>
      <c r="AI62" s="8">
        <f t="shared" si="130"/>
        <v>222.71994129538456</v>
      </c>
      <c r="AJ62" s="8">
        <f t="shared" si="130"/>
        <v>228.45211773344397</v>
      </c>
      <c r="AK62" s="8">
        <f t="shared" si="130"/>
        <v>234.3921460357206</v>
      </c>
      <c r="AL62" s="8">
        <f t="shared" si="130"/>
        <v>240.53269554397573</v>
      </c>
    </row>
    <row r="63" spans="2:41" x14ac:dyDescent="0.3">
      <c r="B63" t="s">
        <v>83</v>
      </c>
      <c r="K63" s="3">
        <v>0.3</v>
      </c>
      <c r="L63" s="3">
        <v>0.2</v>
      </c>
      <c r="M63" s="3">
        <v>0.7</v>
      </c>
      <c r="N63" s="3">
        <v>0.6</v>
      </c>
      <c r="O63" s="3">
        <v>20.2</v>
      </c>
      <c r="P63" s="3">
        <v>1.2</v>
      </c>
      <c r="Q63" s="3">
        <v>1.8</v>
      </c>
      <c r="R63" s="3">
        <v>0</v>
      </c>
      <c r="Z63" s="3">
        <f t="shared" ref="Z63:Z65" si="131">SUM(K63:N63)</f>
        <v>1.7999999999999998</v>
      </c>
      <c r="AA63" s="3">
        <f t="shared" ref="AA63:AA65" si="132">SUM(O63:R63)</f>
        <v>23.2</v>
      </c>
      <c r="AB63" s="3">
        <v>5</v>
      </c>
      <c r="AC63" s="3">
        <f>AB63*1.03</f>
        <v>5.15</v>
      </c>
      <c r="AD63" s="3">
        <f t="shared" ref="AD63:AL63" si="133">AC63*1.03</f>
        <v>5.3045000000000009</v>
      </c>
      <c r="AE63" s="3">
        <f t="shared" si="133"/>
        <v>5.4636350000000009</v>
      </c>
      <c r="AF63" s="3">
        <f t="shared" si="133"/>
        <v>5.6275440500000009</v>
      </c>
      <c r="AG63" s="3">
        <f t="shared" si="133"/>
        <v>5.796370371500001</v>
      </c>
      <c r="AH63" s="3">
        <f t="shared" si="133"/>
        <v>5.9702614826450011</v>
      </c>
      <c r="AI63" s="3">
        <f t="shared" si="133"/>
        <v>6.1493693271243517</v>
      </c>
      <c r="AJ63" s="3">
        <f t="shared" si="133"/>
        <v>6.3338504069380823</v>
      </c>
      <c r="AK63" s="3">
        <f t="shared" si="133"/>
        <v>6.5238659191462247</v>
      </c>
      <c r="AL63" s="3">
        <f t="shared" si="133"/>
        <v>6.7195818967206113</v>
      </c>
    </row>
    <row r="64" spans="2:41" x14ac:dyDescent="0.3">
      <c r="B64" t="s">
        <v>84</v>
      </c>
      <c r="K64" s="3">
        <v>0</v>
      </c>
      <c r="L64" s="3">
        <v>0</v>
      </c>
      <c r="M64" s="3">
        <v>0</v>
      </c>
      <c r="N64" s="3">
        <v>0.3</v>
      </c>
      <c r="O64" s="3">
        <v>0</v>
      </c>
      <c r="P64" s="3">
        <v>0</v>
      </c>
      <c r="Q64" s="3">
        <v>0</v>
      </c>
      <c r="R64" s="3">
        <v>0</v>
      </c>
      <c r="Z64" s="3">
        <f t="shared" si="131"/>
        <v>0.3</v>
      </c>
      <c r="AA64" s="3">
        <f t="shared" si="132"/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</row>
    <row r="65" spans="2:140" x14ac:dyDescent="0.3">
      <c r="B65" t="s">
        <v>86</v>
      </c>
      <c r="K65" s="3">
        <v>1.1000000000000001</v>
      </c>
      <c r="L65" s="3">
        <v>1</v>
      </c>
      <c r="M65" s="3">
        <v>1.2</v>
      </c>
      <c r="N65" s="3">
        <v>1</v>
      </c>
      <c r="O65" s="3">
        <v>1.4</v>
      </c>
      <c r="P65" s="3">
        <v>1.7</v>
      </c>
      <c r="Q65" s="3">
        <v>2.2999999999999998</v>
      </c>
      <c r="R65" s="3">
        <v>1.9</v>
      </c>
      <c r="Z65" s="3">
        <f t="shared" si="131"/>
        <v>4.3</v>
      </c>
      <c r="AA65" s="3">
        <f t="shared" si="132"/>
        <v>7.2999999999999989</v>
      </c>
      <c r="AB65" s="3">
        <f>AA65*1.5</f>
        <v>10.95</v>
      </c>
      <c r="AC65" s="3">
        <f>AB65*1.25</f>
        <v>13.6875</v>
      </c>
      <c r="AD65" s="3">
        <f t="shared" ref="AD65" si="134">AC65*1.2</f>
        <v>16.425000000000001</v>
      </c>
      <c r="AE65" s="3">
        <f>AD65*1.1</f>
        <v>18.067500000000003</v>
      </c>
      <c r="AF65" s="3">
        <f>AE65*1.05</f>
        <v>18.970875000000003</v>
      </c>
      <c r="AG65" s="3">
        <f t="shared" ref="AG65:AL65" si="135">AF65*1.05</f>
        <v>19.919418750000006</v>
      </c>
      <c r="AH65" s="3">
        <f t="shared" si="135"/>
        <v>20.915389687500006</v>
      </c>
      <c r="AI65" s="3">
        <f t="shared" si="135"/>
        <v>21.961159171875007</v>
      </c>
      <c r="AJ65" s="3">
        <f t="shared" si="135"/>
        <v>23.05921713046876</v>
      </c>
      <c r="AK65" s="3">
        <f t="shared" si="135"/>
        <v>24.212177986992199</v>
      </c>
      <c r="AL65" s="3">
        <f t="shared" si="135"/>
        <v>25.422786886341811</v>
      </c>
    </row>
    <row r="66" spans="2:140" x14ac:dyDescent="0.3">
      <c r="B66" t="s">
        <v>87</v>
      </c>
      <c r="K66" s="3">
        <f t="shared" ref="K66:R66" si="136">SUM(K63:K65)</f>
        <v>1.4000000000000001</v>
      </c>
      <c r="L66" s="3">
        <f t="shared" si="136"/>
        <v>1.2</v>
      </c>
      <c r="M66" s="3">
        <f t="shared" si="136"/>
        <v>1.9</v>
      </c>
      <c r="N66" s="3">
        <f t="shared" si="136"/>
        <v>1.9</v>
      </c>
      <c r="O66" s="3">
        <f t="shared" si="136"/>
        <v>21.599999999999998</v>
      </c>
      <c r="P66" s="3">
        <f t="shared" si="136"/>
        <v>2.9</v>
      </c>
      <c r="Q66" s="3">
        <f t="shared" si="136"/>
        <v>4.0999999999999996</v>
      </c>
      <c r="R66" s="3">
        <f t="shared" si="136"/>
        <v>1.9</v>
      </c>
      <c r="Z66" s="3">
        <f>SUM(Z63:Z65)</f>
        <v>6.3999999999999995</v>
      </c>
      <c r="AA66" s="3">
        <f>SUM(AA63:AA65)</f>
        <v>30.5</v>
      </c>
      <c r="AB66" s="3">
        <f t="shared" ref="AB66:AL66" si="137">SUM(AB63:AB65)</f>
        <v>15.95</v>
      </c>
      <c r="AC66" s="3">
        <f t="shared" si="137"/>
        <v>18.837499999999999</v>
      </c>
      <c r="AD66" s="3">
        <f t="shared" si="137"/>
        <v>21.729500000000002</v>
      </c>
      <c r="AE66" s="3">
        <f t="shared" si="137"/>
        <v>23.531135000000003</v>
      </c>
      <c r="AF66" s="3">
        <f t="shared" si="137"/>
        <v>24.598419050000004</v>
      </c>
      <c r="AG66" s="3">
        <f t="shared" si="137"/>
        <v>25.715789121500006</v>
      </c>
      <c r="AH66" s="3">
        <f t="shared" si="137"/>
        <v>26.885651170145007</v>
      </c>
      <c r="AI66" s="3">
        <f t="shared" si="137"/>
        <v>28.110528498999358</v>
      </c>
      <c r="AJ66" s="3">
        <f t="shared" si="137"/>
        <v>29.393067537406843</v>
      </c>
      <c r="AK66" s="3">
        <f t="shared" si="137"/>
        <v>30.736043906138423</v>
      </c>
      <c r="AL66" s="3">
        <f t="shared" si="137"/>
        <v>32.142368783062423</v>
      </c>
    </row>
    <row r="67" spans="2:140" s="1" customFormat="1" x14ac:dyDescent="0.3">
      <c r="B67" s="1" t="s">
        <v>85</v>
      </c>
      <c r="K67" s="8">
        <f t="shared" ref="K67:R67" si="138">K62-K66</f>
        <v>24.099999999999994</v>
      </c>
      <c r="L67" s="8">
        <f t="shared" si="138"/>
        <v>14.199999999999994</v>
      </c>
      <c r="M67" s="8">
        <f t="shared" si="138"/>
        <v>14.199999999999994</v>
      </c>
      <c r="N67" s="8">
        <f t="shared" si="138"/>
        <v>23.400000000000013</v>
      </c>
      <c r="O67" s="8">
        <f t="shared" si="138"/>
        <v>9.399999999999995</v>
      </c>
      <c r="P67" s="8">
        <f t="shared" si="138"/>
        <v>14.399999999999993</v>
      </c>
      <c r="Q67" s="8">
        <f t="shared" si="138"/>
        <v>30.999999999999993</v>
      </c>
      <c r="R67" s="8">
        <f t="shared" si="138"/>
        <v>19.599999999999973</v>
      </c>
      <c r="Z67" s="8">
        <f>Z62-Z66</f>
        <v>75.899999999999935</v>
      </c>
      <c r="AA67" s="8">
        <f>AA62-AA66</f>
        <v>77</v>
      </c>
      <c r="AB67" s="8">
        <f t="shared" ref="AB67:AL67" si="139">AB62-AB66</f>
        <v>120.24759999999996</v>
      </c>
      <c r="AC67" s="8">
        <f t="shared" si="139"/>
        <v>141.25820399999995</v>
      </c>
      <c r="AD67" s="8">
        <f t="shared" si="139"/>
        <v>165.99601539200003</v>
      </c>
      <c r="AE67" s="8">
        <f t="shared" si="139"/>
        <v>175.31455740032004</v>
      </c>
      <c r="AF67" s="8">
        <f t="shared" si="139"/>
        <v>181.7622292801488</v>
      </c>
      <c r="AG67" s="8">
        <f t="shared" si="139"/>
        <v>186.20921604014944</v>
      </c>
      <c r="AH67" s="8">
        <f t="shared" si="139"/>
        <v>190.32045930147851</v>
      </c>
      <c r="AI67" s="8">
        <f t="shared" si="139"/>
        <v>194.60941279638519</v>
      </c>
      <c r="AJ67" s="8">
        <f t="shared" si="139"/>
        <v>199.05905019603713</v>
      </c>
      <c r="AK67" s="8">
        <f t="shared" si="139"/>
        <v>203.65610212958217</v>
      </c>
      <c r="AL67" s="8">
        <f t="shared" si="139"/>
        <v>208.3903267609133</v>
      </c>
      <c r="AM67" s="1">
        <f>AL67*(1+$AO$40)</f>
        <v>206.30642349330415</v>
      </c>
      <c r="AN67" s="1">
        <f t="shared" ref="AN67:CY67" si="140">AM67*(1+$AO$40)</f>
        <v>204.2433592583711</v>
      </c>
      <c r="AO67" s="1">
        <f t="shared" si="140"/>
        <v>202.20092566578739</v>
      </c>
      <c r="AP67" s="1">
        <f t="shared" si="140"/>
        <v>200.17891640912953</v>
      </c>
      <c r="AQ67" s="1">
        <f t="shared" si="140"/>
        <v>198.17712724503824</v>
      </c>
      <c r="AR67" s="1">
        <f t="shared" si="140"/>
        <v>196.19535597258786</v>
      </c>
      <c r="AS67" s="1">
        <f t="shared" si="140"/>
        <v>194.23340241286198</v>
      </c>
      <c r="AT67" s="1">
        <f t="shared" si="140"/>
        <v>192.29106838873335</v>
      </c>
      <c r="AU67" s="1">
        <f t="shared" si="140"/>
        <v>190.36815770484603</v>
      </c>
      <c r="AV67" s="1">
        <f t="shared" si="140"/>
        <v>188.46447612779755</v>
      </c>
      <c r="AW67" s="1">
        <f t="shared" si="140"/>
        <v>186.57983136651958</v>
      </c>
      <c r="AX67" s="1">
        <f t="shared" si="140"/>
        <v>184.71403305285438</v>
      </c>
      <c r="AY67" s="1">
        <f t="shared" si="140"/>
        <v>182.86689272232584</v>
      </c>
      <c r="AZ67" s="1">
        <f t="shared" si="140"/>
        <v>181.0382237951026</v>
      </c>
      <c r="BA67" s="1">
        <f t="shared" si="140"/>
        <v>179.22784155715158</v>
      </c>
      <c r="BB67" s="1">
        <f t="shared" si="140"/>
        <v>177.43556314158005</v>
      </c>
      <c r="BC67" s="1">
        <f t="shared" si="140"/>
        <v>175.66120751016425</v>
      </c>
      <c r="BD67" s="1">
        <f t="shared" si="140"/>
        <v>173.90459543506259</v>
      </c>
      <c r="BE67" s="1">
        <f t="shared" si="140"/>
        <v>172.16554948071197</v>
      </c>
      <c r="BF67" s="1">
        <f t="shared" si="140"/>
        <v>170.44389398590485</v>
      </c>
      <c r="BG67" s="1">
        <f t="shared" si="140"/>
        <v>168.7394550460458</v>
      </c>
      <c r="BH67" s="1">
        <f t="shared" si="140"/>
        <v>167.05206049558535</v>
      </c>
      <c r="BI67" s="1">
        <f t="shared" si="140"/>
        <v>165.38153989062948</v>
      </c>
      <c r="BJ67" s="1">
        <f t="shared" si="140"/>
        <v>163.72772449172319</v>
      </c>
      <c r="BK67" s="1">
        <f t="shared" si="140"/>
        <v>162.09044724680595</v>
      </c>
      <c r="BL67" s="1">
        <f t="shared" si="140"/>
        <v>160.4695427743379</v>
      </c>
      <c r="BM67" s="1">
        <f t="shared" si="140"/>
        <v>158.8648473465945</v>
      </c>
      <c r="BN67" s="1">
        <f t="shared" si="140"/>
        <v>157.27619887312855</v>
      </c>
      <c r="BO67" s="1">
        <f t="shared" si="140"/>
        <v>155.70343688439726</v>
      </c>
      <c r="BP67" s="1">
        <f t="shared" si="140"/>
        <v>154.14640251555329</v>
      </c>
      <c r="BQ67" s="1">
        <f t="shared" si="140"/>
        <v>152.60493849039776</v>
      </c>
      <c r="BR67" s="1">
        <f t="shared" si="140"/>
        <v>151.07888910549377</v>
      </c>
      <c r="BS67" s="1">
        <f t="shared" si="140"/>
        <v>149.56810021443883</v>
      </c>
      <c r="BT67" s="1">
        <f t="shared" si="140"/>
        <v>148.07241921229445</v>
      </c>
      <c r="BU67" s="1">
        <f t="shared" si="140"/>
        <v>146.5916950201715</v>
      </c>
      <c r="BV67" s="1">
        <f t="shared" si="140"/>
        <v>145.12577806996978</v>
      </c>
      <c r="BW67" s="1">
        <f t="shared" si="140"/>
        <v>143.67452028927008</v>
      </c>
      <c r="BX67" s="1">
        <f t="shared" si="140"/>
        <v>142.23777508637738</v>
      </c>
      <c r="BY67" s="1">
        <f t="shared" si="140"/>
        <v>140.81539733551361</v>
      </c>
      <c r="BZ67" s="1">
        <f t="shared" si="140"/>
        <v>139.40724336215848</v>
      </c>
      <c r="CA67" s="1">
        <f t="shared" si="140"/>
        <v>138.01317092853691</v>
      </c>
      <c r="CB67" s="1">
        <f t="shared" si="140"/>
        <v>136.63303921925154</v>
      </c>
      <c r="CC67" s="1">
        <f t="shared" si="140"/>
        <v>135.26670882705903</v>
      </c>
      <c r="CD67" s="1">
        <f t="shared" si="140"/>
        <v>133.91404173878846</v>
      </c>
      <c r="CE67" s="1">
        <f t="shared" si="140"/>
        <v>132.57490132140057</v>
      </c>
      <c r="CF67" s="1">
        <f t="shared" si="140"/>
        <v>131.24915230818658</v>
      </c>
      <c r="CG67" s="1">
        <f t="shared" si="140"/>
        <v>129.93666078510472</v>
      </c>
      <c r="CH67" s="1">
        <f t="shared" si="140"/>
        <v>128.63729417725366</v>
      </c>
      <c r="CI67" s="1">
        <f t="shared" si="140"/>
        <v>127.35092123548112</v>
      </c>
      <c r="CJ67" s="1">
        <f t="shared" si="140"/>
        <v>126.07741202312631</v>
      </c>
      <c r="CK67" s="1">
        <f t="shared" si="140"/>
        <v>124.81663790289505</v>
      </c>
      <c r="CL67" s="1">
        <f t="shared" si="140"/>
        <v>123.56847152386611</v>
      </c>
      <c r="CM67" s="1">
        <f t="shared" si="140"/>
        <v>122.33278680862745</v>
      </c>
      <c r="CN67" s="1">
        <f t="shared" si="140"/>
        <v>121.10945894054117</v>
      </c>
      <c r="CO67" s="1">
        <f t="shared" si="140"/>
        <v>119.89836435113575</v>
      </c>
      <c r="CP67" s="1">
        <f t="shared" si="140"/>
        <v>118.6993807076244</v>
      </c>
      <c r="CQ67" s="1">
        <f t="shared" si="140"/>
        <v>117.51238690054815</v>
      </c>
      <c r="CR67" s="1">
        <f t="shared" si="140"/>
        <v>116.33726303154266</v>
      </c>
      <c r="CS67" s="1">
        <f t="shared" si="140"/>
        <v>115.17389040122724</v>
      </c>
      <c r="CT67" s="1">
        <f t="shared" si="140"/>
        <v>114.02215149721496</v>
      </c>
      <c r="CU67" s="1">
        <f t="shared" si="140"/>
        <v>112.88192998224281</v>
      </c>
      <c r="CV67" s="1">
        <f t="shared" si="140"/>
        <v>111.75311068242038</v>
      </c>
      <c r="CW67" s="1">
        <f t="shared" si="140"/>
        <v>110.63557957559618</v>
      </c>
      <c r="CX67" s="1">
        <f t="shared" si="140"/>
        <v>109.52922377984022</v>
      </c>
      <c r="CY67" s="1">
        <f t="shared" si="140"/>
        <v>108.43393154204182</v>
      </c>
      <c r="CZ67" s="1">
        <f t="shared" ref="CZ67:EJ67" si="141">CY67*(1+$AO$40)</f>
        <v>107.3495922266214</v>
      </c>
      <c r="DA67" s="1">
        <f t="shared" si="141"/>
        <v>106.27609630435518</v>
      </c>
      <c r="DB67" s="1">
        <f t="shared" si="141"/>
        <v>105.21333534131162</v>
      </c>
      <c r="DC67" s="1">
        <f t="shared" si="141"/>
        <v>104.16120198789851</v>
      </c>
      <c r="DD67" s="1">
        <f t="shared" si="141"/>
        <v>103.11958996801953</v>
      </c>
      <c r="DE67" s="1">
        <f t="shared" si="141"/>
        <v>102.08839406833933</v>
      </c>
      <c r="DF67" s="1">
        <f t="shared" si="141"/>
        <v>101.06751012765594</v>
      </c>
      <c r="DG67" s="1">
        <f t="shared" si="141"/>
        <v>100.05683502637937</v>
      </c>
      <c r="DH67" s="1">
        <f t="shared" si="141"/>
        <v>99.056266676115584</v>
      </c>
      <c r="DI67" s="1">
        <f t="shared" si="141"/>
        <v>98.065704009354434</v>
      </c>
      <c r="DJ67" s="1">
        <f t="shared" si="141"/>
        <v>97.085046969260887</v>
      </c>
      <c r="DK67" s="1">
        <f t="shared" si="141"/>
        <v>96.11419649956828</v>
      </c>
      <c r="DL67" s="1">
        <f t="shared" si="141"/>
        <v>95.15305453457259</v>
      </c>
      <c r="DM67" s="1">
        <f t="shared" si="141"/>
        <v>94.201523989226857</v>
      </c>
      <c r="DN67" s="1">
        <f t="shared" si="141"/>
        <v>93.259508749334586</v>
      </c>
      <c r="DO67" s="1">
        <f t="shared" si="141"/>
        <v>92.326913661841246</v>
      </c>
      <c r="DP67" s="1">
        <f t="shared" si="141"/>
        <v>91.40364452522283</v>
      </c>
      <c r="DQ67" s="1">
        <f t="shared" si="141"/>
        <v>90.489608079970608</v>
      </c>
      <c r="DR67" s="1">
        <f t="shared" si="141"/>
        <v>89.584711999170906</v>
      </c>
      <c r="DS67" s="1">
        <f t="shared" si="141"/>
        <v>88.688864879179192</v>
      </c>
      <c r="DT67" s="1">
        <f t="shared" si="141"/>
        <v>87.801976230387396</v>
      </c>
      <c r="DU67" s="1">
        <f t="shared" si="141"/>
        <v>86.923956468083517</v>
      </c>
      <c r="DV67" s="1">
        <f t="shared" si="141"/>
        <v>86.054716903402678</v>
      </c>
      <c r="DW67" s="1">
        <f t="shared" si="141"/>
        <v>85.194169734368657</v>
      </c>
      <c r="DX67" s="1">
        <f t="shared" si="141"/>
        <v>84.342228037024967</v>
      </c>
      <c r="DY67" s="1">
        <f t="shared" si="141"/>
        <v>83.498805756654718</v>
      </c>
      <c r="DZ67" s="1">
        <f t="shared" si="141"/>
        <v>82.66381769908817</v>
      </c>
      <c r="EA67" s="1">
        <f t="shared" si="141"/>
        <v>81.837179522097287</v>
      </c>
      <c r="EB67" s="1">
        <f t="shared" si="141"/>
        <v>81.018807726876318</v>
      </c>
      <c r="EC67" s="1">
        <f t="shared" si="141"/>
        <v>80.208619649607556</v>
      </c>
      <c r="ED67" s="1">
        <f t="shared" si="141"/>
        <v>79.406533453111479</v>
      </c>
      <c r="EE67" s="1">
        <f t="shared" si="141"/>
        <v>78.612468118580367</v>
      </c>
      <c r="EF67" s="1">
        <f t="shared" si="141"/>
        <v>77.826343437394556</v>
      </c>
      <c r="EG67" s="1">
        <f t="shared" si="141"/>
        <v>77.048080003020615</v>
      </c>
      <c r="EH67" s="1">
        <f t="shared" si="141"/>
        <v>76.277599202990402</v>
      </c>
      <c r="EI67" s="1">
        <f t="shared" si="141"/>
        <v>75.5148232109605</v>
      </c>
      <c r="EJ67" s="1">
        <f t="shared" si="141"/>
        <v>74.759674978850896</v>
      </c>
    </row>
    <row r="70" spans="2:140" x14ac:dyDescent="0.3">
      <c r="AO70" s="3">
        <f>NPV(AO41,AB67:EJ67)</f>
        <v>1770.2572423986971</v>
      </c>
    </row>
    <row r="71" spans="2:140" x14ac:dyDescent="0.3">
      <c r="AO71" s="3">
        <f>AO43</f>
        <v>126.8</v>
      </c>
    </row>
    <row r="72" spans="2:140" x14ac:dyDescent="0.3">
      <c r="AO72" s="3">
        <f>AO70+AO71</f>
        <v>1897.0572423986971</v>
      </c>
    </row>
    <row r="73" spans="2:140" x14ac:dyDescent="0.3">
      <c r="AO73" s="2">
        <f>AO72/AL30</f>
        <v>21.196170306130693</v>
      </c>
    </row>
    <row r="74" spans="2:140" x14ac:dyDescent="0.3">
      <c r="AO74" s="2">
        <f>Main!D3</f>
        <v>16.87</v>
      </c>
    </row>
    <row r="75" spans="2:140" x14ac:dyDescent="0.3">
      <c r="AO75" s="9">
        <f>AO73/AO74-1</f>
        <v>0.25644163047603397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2024-10-01T10:52:35Z</dcterms:created>
  <dcterms:modified xsi:type="dcterms:W3CDTF">2025-04-29T14:02:02Z</dcterms:modified>
</cp:coreProperties>
</file>