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5B72066-CF37-4D12-8C62-4014419D8972}" xr6:coauthVersionLast="47" xr6:coauthVersionMax="47" xr10:uidLastSave="{00000000-0000-0000-0000-000000000000}"/>
  <bookViews>
    <workbookView xWindow="-108" yWindow="-108" windowWidth="23256" windowHeight="12576" activeTab="1" xr2:uid="{36256194-E29F-4FBF-A799-FCE3EDFD57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R21" i="2" s="1"/>
  <c r="Q8" i="2"/>
  <c r="Q21" i="2"/>
  <c r="P8" i="2"/>
  <c r="AG7" i="2"/>
  <c r="AF7" i="2"/>
  <c r="AE7" i="2"/>
  <c r="AD7" i="2"/>
  <c r="AC7" i="2"/>
  <c r="AB7" i="2"/>
  <c r="AA7" i="2"/>
  <c r="Z7" i="2"/>
  <c r="Y7" i="2"/>
  <c r="X7" i="2"/>
  <c r="W12" i="2"/>
  <c r="W10" i="2"/>
  <c r="W7" i="2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W4" i="2"/>
  <c r="X3" i="2"/>
  <c r="W3" i="2"/>
  <c r="P3" i="2"/>
  <c r="R5" i="2"/>
  <c r="R18" i="2" s="1"/>
  <c r="Q5" i="2"/>
  <c r="Q18" i="2" s="1"/>
  <c r="O5" i="2"/>
  <c r="D6" i="1"/>
  <c r="D8" i="1" s="1"/>
  <c r="AG14" i="2"/>
  <c r="AF14" i="2"/>
  <c r="AE14" i="2"/>
  <c r="AD14" i="2"/>
  <c r="AC14" i="2"/>
  <c r="AB14" i="2"/>
  <c r="AA14" i="2"/>
  <c r="Z14" i="2"/>
  <c r="Y14" i="2"/>
  <c r="X14" i="2"/>
  <c r="W14" i="2"/>
  <c r="R14" i="2"/>
  <c r="Q14" i="2"/>
  <c r="P14" i="2"/>
  <c r="O14" i="2"/>
  <c r="D4" i="1"/>
  <c r="AJ47" i="2"/>
  <c r="AA31" i="2"/>
  <c r="AB31" i="2" s="1"/>
  <c r="AC31" i="2" s="1"/>
  <c r="AD31" i="2" s="1"/>
  <c r="AE31" i="2" s="1"/>
  <c r="AF31" i="2" s="1"/>
  <c r="AG31" i="2" s="1"/>
  <c r="Z31" i="2"/>
  <c r="Y31" i="2"/>
  <c r="X31" i="2"/>
  <c r="W31" i="2"/>
  <c r="AB28" i="2"/>
  <c r="AC28" i="2" s="1"/>
  <c r="AD28" i="2" s="1"/>
  <c r="AE28" i="2" s="1"/>
  <c r="AF28" i="2" s="1"/>
  <c r="AG28" i="2" s="1"/>
  <c r="AA28" i="2"/>
  <c r="Z28" i="2"/>
  <c r="Y28" i="2"/>
  <c r="X28" i="2"/>
  <c r="W28" i="2"/>
  <c r="O21" i="2"/>
  <c r="R20" i="2"/>
  <c r="Q20" i="2"/>
  <c r="R19" i="2"/>
  <c r="Q19" i="2"/>
  <c r="P19" i="2"/>
  <c r="O19" i="2"/>
  <c r="R17" i="2"/>
  <c r="Q17" i="2"/>
  <c r="O17" i="2"/>
  <c r="R10" i="2"/>
  <c r="Q10" i="2"/>
  <c r="P10" i="2"/>
  <c r="R7" i="2"/>
  <c r="Q7" i="2"/>
  <c r="R6" i="2"/>
  <c r="Q6" i="2"/>
  <c r="P6" i="2"/>
  <c r="R3" i="2"/>
  <c r="Q3" i="2"/>
  <c r="J20" i="2"/>
  <c r="I20" i="2"/>
  <c r="H20" i="2"/>
  <c r="G20" i="2"/>
  <c r="N21" i="2"/>
  <c r="M21" i="2"/>
  <c r="L21" i="2"/>
  <c r="N20" i="2"/>
  <c r="M20" i="2"/>
  <c r="L20" i="2"/>
  <c r="N19" i="2"/>
  <c r="M19" i="2"/>
  <c r="L19" i="2"/>
  <c r="N17" i="2"/>
  <c r="M17" i="2"/>
  <c r="L17" i="2"/>
  <c r="H5" i="2"/>
  <c r="H9" i="2" s="1"/>
  <c r="H11" i="2" s="1"/>
  <c r="H13" i="2" s="1"/>
  <c r="H15" i="2" s="1"/>
  <c r="L5" i="2"/>
  <c r="L18" i="2" s="1"/>
  <c r="I5" i="2"/>
  <c r="I9" i="2" s="1"/>
  <c r="I11" i="2" s="1"/>
  <c r="I13" i="2" s="1"/>
  <c r="I15" i="2" s="1"/>
  <c r="M5" i="2"/>
  <c r="M18" i="2" s="1"/>
  <c r="J5" i="2"/>
  <c r="J9" i="2" s="1"/>
  <c r="J11" i="2" s="1"/>
  <c r="J13" i="2" s="1"/>
  <c r="J15" i="2" s="1"/>
  <c r="N14" i="2"/>
  <c r="N5" i="2"/>
  <c r="N18" i="2" s="1"/>
  <c r="AJ24" i="2"/>
  <c r="V12" i="2"/>
  <c r="V10" i="2"/>
  <c r="V8" i="2"/>
  <c r="V7" i="2"/>
  <c r="V6" i="2"/>
  <c r="V19" i="2" s="1"/>
  <c r="V3" i="2"/>
  <c r="U19" i="2"/>
  <c r="U21" i="2"/>
  <c r="U17" i="2"/>
  <c r="U20" i="2"/>
  <c r="T20" i="2"/>
  <c r="K20" i="2"/>
  <c r="K21" i="2"/>
  <c r="K19" i="2"/>
  <c r="K17" i="2"/>
  <c r="U5" i="2"/>
  <c r="U9" i="2" s="1"/>
  <c r="U11" i="2" s="1"/>
  <c r="U13" i="2" s="1"/>
  <c r="U15" i="2" s="1"/>
  <c r="T5" i="2"/>
  <c r="T9" i="2" s="1"/>
  <c r="T11" i="2" s="1"/>
  <c r="T13" i="2" s="1"/>
  <c r="T15" i="2" s="1"/>
  <c r="G5" i="2"/>
  <c r="G9" i="2" s="1"/>
  <c r="G11" i="2" s="1"/>
  <c r="G13" i="2" s="1"/>
  <c r="G15" i="2" s="1"/>
  <c r="K5" i="2"/>
  <c r="K18" i="2" s="1"/>
  <c r="F3" i="1"/>
  <c r="D5" i="1"/>
  <c r="W8" i="2" l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P21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P4" i="2"/>
  <c r="P7" i="2"/>
  <c r="P20" i="2" s="1"/>
  <c r="P17" i="2"/>
  <c r="P5" i="2"/>
  <c r="P18" i="2" s="1"/>
  <c r="R9" i="2"/>
  <c r="R22" i="2" s="1"/>
  <c r="Q4" i="2"/>
  <c r="R4" i="2"/>
  <c r="Q9" i="2"/>
  <c r="Q11" i="2" s="1"/>
  <c r="Q23" i="2" s="1"/>
  <c r="P9" i="2"/>
  <c r="O20" i="2"/>
  <c r="O18" i="2"/>
  <c r="AJ44" i="2"/>
  <c r="AJ21" i="2"/>
  <c r="D9" i="1"/>
  <c r="T27" i="2"/>
  <c r="T38" i="2" s="1"/>
  <c r="T40" i="2" s="1"/>
  <c r="I18" i="2"/>
  <c r="I22" i="2"/>
  <c r="I23" i="2"/>
  <c r="I24" i="2"/>
  <c r="G23" i="2"/>
  <c r="U27" i="2"/>
  <c r="U38" i="2" s="1"/>
  <c r="U40" i="2" s="1"/>
  <c r="H23" i="2"/>
  <c r="J24" i="2"/>
  <c r="G18" i="2"/>
  <c r="G22" i="2"/>
  <c r="G24" i="2"/>
  <c r="J18" i="2"/>
  <c r="J22" i="2"/>
  <c r="J23" i="2"/>
  <c r="H18" i="2"/>
  <c r="H22" i="2"/>
  <c r="H24" i="2"/>
  <c r="U23" i="2"/>
  <c r="U24" i="2"/>
  <c r="T24" i="2"/>
  <c r="U22" i="2"/>
  <c r="K9" i="2"/>
  <c r="K22" i="2" s="1"/>
  <c r="T18" i="2"/>
  <c r="M9" i="2"/>
  <c r="M22" i="2" s="1"/>
  <c r="W20" i="2"/>
  <c r="U18" i="2"/>
  <c r="N9" i="2"/>
  <c r="N22" i="2" s="1"/>
  <c r="T22" i="2"/>
  <c r="T23" i="2"/>
  <c r="L9" i="2"/>
  <c r="L22" i="2" s="1"/>
  <c r="Y19" i="2"/>
  <c r="X19" i="2"/>
  <c r="V21" i="2"/>
  <c r="V4" i="2"/>
  <c r="W19" i="2"/>
  <c r="W17" i="2"/>
  <c r="V17" i="2"/>
  <c r="V20" i="2"/>
  <c r="R11" i="2" l="1"/>
  <c r="Q22" i="2"/>
  <c r="Y21" i="2"/>
  <c r="X21" i="2"/>
  <c r="Q13" i="2"/>
  <c r="Q15" i="2" s="1"/>
  <c r="W21" i="2"/>
  <c r="X20" i="2"/>
  <c r="X5" i="2"/>
  <c r="Y4" i="2"/>
  <c r="R23" i="2"/>
  <c r="R13" i="2"/>
  <c r="P22" i="2"/>
  <c r="P11" i="2"/>
  <c r="O9" i="2"/>
  <c r="X4" i="2"/>
  <c r="X17" i="2"/>
  <c r="M11" i="2"/>
  <c r="M23" i="2" s="1"/>
  <c r="K11" i="2"/>
  <c r="K23" i="2" s="1"/>
  <c r="L11" i="2"/>
  <c r="L23" i="2" s="1"/>
  <c r="N11" i="2"/>
  <c r="N23" i="2" s="1"/>
  <c r="V5" i="2"/>
  <c r="V9" i="2" s="1"/>
  <c r="V22" i="2" s="1"/>
  <c r="Z4" i="2"/>
  <c r="Y3" i="2"/>
  <c r="Y5" i="2" s="1"/>
  <c r="Z19" i="2"/>
  <c r="Z21" i="2"/>
  <c r="Q24" i="2" l="1"/>
  <c r="R15" i="2"/>
  <c r="R24" i="2"/>
  <c r="P13" i="2"/>
  <c r="P23" i="2"/>
  <c r="O11" i="2"/>
  <c r="O22" i="2"/>
  <c r="K13" i="2"/>
  <c r="M13" i="2"/>
  <c r="M24" i="2" s="1"/>
  <c r="L13" i="2"/>
  <c r="L24" i="2" s="1"/>
  <c r="V18" i="2"/>
  <c r="K15" i="2"/>
  <c r="K24" i="2"/>
  <c r="N13" i="2"/>
  <c r="N24" i="2" s="1"/>
  <c r="X18" i="2"/>
  <c r="X9" i="2"/>
  <c r="Z3" i="2"/>
  <c r="Z5" i="2" s="1"/>
  <c r="Y17" i="2"/>
  <c r="Y20" i="2"/>
  <c r="AA19" i="2"/>
  <c r="AA21" i="2"/>
  <c r="V11" i="2"/>
  <c r="V23" i="2" s="1"/>
  <c r="P24" i="2" l="1"/>
  <c r="P15" i="2"/>
  <c r="O13" i="2"/>
  <c r="O23" i="2"/>
  <c r="M15" i="2"/>
  <c r="L15" i="2"/>
  <c r="Y9" i="2"/>
  <c r="Y18" i="2"/>
  <c r="X22" i="2"/>
  <c r="X11" i="2"/>
  <c r="AA3" i="2"/>
  <c r="AA5" i="2" s="1"/>
  <c r="Z17" i="2"/>
  <c r="Z20" i="2"/>
  <c r="N15" i="2"/>
  <c r="AB19" i="2"/>
  <c r="AB21" i="2"/>
  <c r="V13" i="2"/>
  <c r="O15" i="2" l="1"/>
  <c r="O24" i="2"/>
  <c r="V24" i="2"/>
  <c r="V27" i="2"/>
  <c r="V38" i="2" s="1"/>
  <c r="V40" i="2" s="1"/>
  <c r="X12" i="2"/>
  <c r="X23" i="2" s="1"/>
  <c r="Y22" i="2"/>
  <c r="Y11" i="2"/>
  <c r="Z18" i="2"/>
  <c r="Z9" i="2"/>
  <c r="AB3" i="2"/>
  <c r="AB5" i="2" s="1"/>
  <c r="AA17" i="2"/>
  <c r="AA20" i="2"/>
  <c r="AC19" i="2"/>
  <c r="AC21" i="2"/>
  <c r="V15" i="2"/>
  <c r="Y12" i="2" l="1"/>
  <c r="Y23" i="2" s="1"/>
  <c r="X13" i="2"/>
  <c r="X27" i="2" s="1"/>
  <c r="X38" i="2" s="1"/>
  <c r="X40" i="2" s="1"/>
  <c r="Z22" i="2"/>
  <c r="Z11" i="2"/>
  <c r="AA9" i="2"/>
  <c r="AC3" i="2"/>
  <c r="AC5" i="2" s="1"/>
  <c r="AB17" i="2"/>
  <c r="AB20" i="2"/>
  <c r="AD19" i="2"/>
  <c r="AD21" i="2"/>
  <c r="AB9" i="2" l="1"/>
  <c r="AB11" i="2" s="1"/>
  <c r="AB12" i="2" s="1"/>
  <c r="AB23" i="2" s="1"/>
  <c r="AD3" i="2"/>
  <c r="AD5" i="2" s="1"/>
  <c r="AC20" i="2"/>
  <c r="AC17" i="2"/>
  <c r="Z12" i="2"/>
  <c r="Z23" i="2" s="1"/>
  <c r="X15" i="2"/>
  <c r="X24" i="2"/>
  <c r="AA22" i="2"/>
  <c r="AA11" i="2"/>
  <c r="Y13" i="2"/>
  <c r="Y27" i="2" s="1"/>
  <c r="Y38" i="2" s="1"/>
  <c r="Y40" i="2" s="1"/>
  <c r="AE19" i="2"/>
  <c r="AE21" i="2"/>
  <c r="AB22" i="2" l="1"/>
  <c r="Z13" i="2"/>
  <c r="AB13" i="2"/>
  <c r="AA12" i="2"/>
  <c r="AA23" i="2" s="1"/>
  <c r="AE3" i="2"/>
  <c r="AE5" i="2" s="1"/>
  <c r="AD20" i="2"/>
  <c r="AD17" i="2"/>
  <c r="Y15" i="2"/>
  <c r="Y24" i="2"/>
  <c r="AC9" i="2"/>
  <c r="AG19" i="2"/>
  <c r="AF19" i="2"/>
  <c r="AF21" i="2"/>
  <c r="Z15" i="2" l="1"/>
  <c r="Z27" i="2"/>
  <c r="Z38" i="2" s="1"/>
  <c r="Z40" i="2" s="1"/>
  <c r="AB15" i="2"/>
  <c r="AB27" i="2"/>
  <c r="AB38" i="2" s="1"/>
  <c r="AB40" i="2" s="1"/>
  <c r="AA13" i="2"/>
  <c r="AA15" i="2" s="1"/>
  <c r="AB24" i="2"/>
  <c r="Z24" i="2"/>
  <c r="AC22" i="2"/>
  <c r="AC11" i="2"/>
  <c r="AD9" i="2"/>
  <c r="AF3" i="2"/>
  <c r="AF5" i="2" s="1"/>
  <c r="AE20" i="2"/>
  <c r="AE17" i="2"/>
  <c r="AG21" i="2"/>
  <c r="AA24" i="2" l="1"/>
  <c r="AA27" i="2"/>
  <c r="AA38" i="2" s="1"/>
  <c r="AA40" i="2" s="1"/>
  <c r="AD22" i="2"/>
  <c r="AD11" i="2"/>
  <c r="AE9" i="2"/>
  <c r="AG3" i="2"/>
  <c r="AG5" i="2" s="1"/>
  <c r="AF17" i="2"/>
  <c r="AF20" i="2"/>
  <c r="AC12" i="2"/>
  <c r="AC23" i="2" s="1"/>
  <c r="AC13" i="2" l="1"/>
  <c r="AF9" i="2"/>
  <c r="AG20" i="2"/>
  <c r="AG17" i="2"/>
  <c r="AE22" i="2"/>
  <c r="AE11" i="2"/>
  <c r="AE12" i="2" s="1"/>
  <c r="AE23" i="2" s="1"/>
  <c r="AD12" i="2"/>
  <c r="AD23" i="2" s="1"/>
  <c r="AC15" i="2" l="1"/>
  <c r="AC27" i="2"/>
  <c r="AC38" i="2" s="1"/>
  <c r="AC40" i="2" s="1"/>
  <c r="AD13" i="2"/>
  <c r="AC24" i="2"/>
  <c r="AF22" i="2"/>
  <c r="AF11" i="2"/>
  <c r="AG9" i="2"/>
  <c r="AE13" i="2"/>
  <c r="AE15" i="2" l="1"/>
  <c r="AE27" i="2"/>
  <c r="AE38" i="2" s="1"/>
  <c r="AE40" i="2" s="1"/>
  <c r="AD24" i="2"/>
  <c r="AD27" i="2"/>
  <c r="AD38" i="2" s="1"/>
  <c r="AD40" i="2" s="1"/>
  <c r="AD15" i="2"/>
  <c r="AE24" i="2"/>
  <c r="AG22" i="2"/>
  <c r="AG11" i="2"/>
  <c r="AF12" i="2"/>
  <c r="AF23" i="2" s="1"/>
  <c r="AF13" i="2" l="1"/>
  <c r="AG12" i="2"/>
  <c r="AG23" i="2" s="1"/>
  <c r="AF15" i="2" l="1"/>
  <c r="AF27" i="2"/>
  <c r="AF38" i="2" s="1"/>
  <c r="AF40" i="2" s="1"/>
  <c r="AF24" i="2"/>
  <c r="AG13" i="2"/>
  <c r="AG27" i="2" s="1"/>
  <c r="AG38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DV40" i="2" s="1"/>
  <c r="DW40" i="2" s="1"/>
  <c r="DX40" i="2" s="1"/>
  <c r="DY40" i="2" s="1"/>
  <c r="DZ40" i="2" s="1"/>
  <c r="EA40" i="2" s="1"/>
  <c r="EB40" i="2" s="1"/>
  <c r="EC40" i="2" s="1"/>
  <c r="ED40" i="2" s="1"/>
  <c r="EE40" i="2" s="1"/>
  <c r="EF40" i="2" s="1"/>
  <c r="EG40" i="2" s="1"/>
  <c r="EH40" i="2" s="1"/>
  <c r="EI40" i="2" s="1"/>
  <c r="EJ40" i="2" s="1"/>
  <c r="EK40" i="2" s="1"/>
  <c r="EL40" i="2" s="1"/>
  <c r="EM40" i="2" s="1"/>
  <c r="EN40" i="2" s="1"/>
  <c r="AH13" i="2" l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AG24" i="2"/>
  <c r="AG15" i="2"/>
  <c r="AA18" i="2"/>
  <c r="AG18" i="2" l="1"/>
  <c r="AF18" i="2"/>
  <c r="AE18" i="2"/>
  <c r="AD18" i="2"/>
  <c r="AC18" i="2"/>
  <c r="AB18" i="2"/>
  <c r="AA4" i="2"/>
  <c r="AE4" i="2" s="1"/>
  <c r="W9" i="2"/>
  <c r="W11" i="2" s="1"/>
  <c r="AD4" i="2"/>
  <c r="AC4" i="2"/>
  <c r="W5" i="2"/>
  <c r="W18" i="2" s="1"/>
  <c r="AB4" i="2"/>
  <c r="W22" i="2" l="1"/>
  <c r="W23" i="2"/>
  <c r="AF4" i="2"/>
  <c r="AG4" i="2"/>
  <c r="W13" i="2" l="1"/>
  <c r="W27" i="2" s="1"/>
  <c r="W38" i="2" s="1"/>
  <c r="W40" i="2" s="1"/>
  <c r="AJ43" i="2" s="1"/>
  <c r="AJ45" i="2" s="1"/>
  <c r="AJ46" i="2" s="1"/>
  <c r="AJ48" i="2" s="1"/>
  <c r="AJ20" i="2" l="1"/>
  <c r="AJ22" i="2" s="1"/>
  <c r="AJ23" i="2" s="1"/>
  <c r="AJ25" i="2" s="1"/>
  <c r="W24" i="2"/>
  <c r="W15" i="2"/>
</calcChain>
</file>

<file path=xl/sharedStrings.xml><?xml version="1.0" encoding="utf-8"?>
<sst xmlns="http://schemas.openxmlformats.org/spreadsheetml/2006/main" count="74" uniqueCount="68">
  <si>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</si>
  <si>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</si>
  <si>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</si>
  <si>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</si>
  <si>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</si>
  <si>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</si>
  <si>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</si>
  <si>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</si>
  <si>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</si>
  <si>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</si>
  <si>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</si>
  <si>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Cost of sales</t>
  </si>
  <si>
    <t>Gross profit</t>
  </si>
  <si>
    <t>R&amp;D</t>
  </si>
  <si>
    <t>S&amp;M</t>
  </si>
  <si>
    <t>G&amp;A</t>
  </si>
  <si>
    <t>Operating profit</t>
  </si>
  <si>
    <t>Other income</t>
  </si>
  <si>
    <t>Pretax profit</t>
  </si>
  <si>
    <t>Taxes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</si>
  <si>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</si>
  <si>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</si>
  <si>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</si>
  <si>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</si>
  <si>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</si>
  <si>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</si>
  <si>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</si>
  <si>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</si>
  <si>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</si>
  <si>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</si>
  <si>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</si>
  <si>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</si>
  <si>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</si>
  <si>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</si>
  <si>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</si>
  <si>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</si>
  <si>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</si>
  <si>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</si>
  <si>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</si>
  <si>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</si>
  <si>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</si>
  <si>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</si>
  <si>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</si>
  <si>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Net cash</t>
  </si>
  <si>
    <t>Value</t>
  </si>
  <si>
    <t>Per share</t>
  </si>
  <si>
    <t>Current price</t>
  </si>
  <si>
    <t>Variance</t>
  </si>
  <si>
    <t>Consensus</t>
  </si>
  <si>
    <t>Net income</t>
  </si>
  <si>
    <t>D&amp;A</t>
  </si>
  <si>
    <t>Leases</t>
  </si>
  <si>
    <t>Amortisation</t>
  </si>
  <si>
    <t>SBC</t>
  </si>
  <si>
    <t>Other</t>
  </si>
  <si>
    <t>A/R</t>
  </si>
  <si>
    <t>Prepaids</t>
  </si>
  <si>
    <t>A/P</t>
  </si>
  <si>
    <t>A/L</t>
  </si>
  <si>
    <t>CFFO</t>
  </si>
  <si>
    <t>PP&amp;E</t>
  </si>
  <si>
    <t>FCF</t>
  </si>
  <si>
    <t>Q125</t>
  </si>
  <si>
    <t>Q225</t>
  </si>
  <si>
    <t>Q325</t>
  </si>
  <si>
    <t>Q425</t>
  </si>
  <si>
    <t>NPV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</si>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</sst>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8" fontId="0" fillId="0" borderId="0" xfId="0" applyNumberFormat="1"/>
    <xf numFmtId="14" fontId="2" fillId="0" borderId="0" xfId="0" applyNumberFormat="1" applyFont="1" applyAlignment="1">
      <alignment horizontal="right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0</xdr:row>
      <xdr:rowOff>7620</xdr:rowOff>
    </xdr:from>
    <xdr:to>
      <xdr:col>22</xdr:col>
      <xdr:colOff>38100</xdr:colOff>
      <xdr:row>54</xdr:row>
      <xdr:rowOff>129540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642575-C6C5-0AAA-F505-DDE1C0B2A085}"/>
            </a:ext>
          </a:extLst>
        </xdr:cNvPr>
        <xdr:cNvCxnSpPr/>
      </xdr:nvCxnSpPr>
      <xdr:spPr>
        <a:xfrm>
          <a:off x="13914120" y="7620"/>
          <a:ext cx="0" cy="99974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0</xdr:row>
      <xdr:rowOff>7620</xdr:rowOff>
    </xdr:from>
    <xdr:to>
      <xdr:col>14</xdr:col>
      <xdr:colOff>22860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A6B8064-E861-B27A-7692-3721317875FB}"/>
            </a:ext>
          </a:extLst>
        </xdr:cNvPr>
        <xdr:cNvCxnSpPr/>
      </xdr:nvCxnSpPr>
      <xdr:spPr>
        <a:xfrm>
          <a:off x="902208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410B-C7AE-439B-A755-B1C831AD05EB}">
  <dimension ref="C2:G9"/>
  <sheetViews>
    <sheetView workbookViewId="0">
      <selection activeCell="E7" sqref="E7"/>
    </sheetView>
  </sheetViews>
  <sheetFormatPr defaultRowHeight="14.4" x14ac:dyDescent="0.3"/>
  <cols>
    <col min="5" max="5" width="11.88671875" style="3" bestFit="1" customWidth="1"/>
    <col min="6" max="7" width="11.21875" style="3" bestFit="1" customWidth="1"/>
    <col min="8" max="8" width="8.88671875" customWidth="1"/>
  </cols>
  <sheetData>
    <row r="2" spans="3:7" x14ac:dyDescent="0.3">
      <c r="E2" s="3" t="s">
        <v>7</v>
      </c>
      <c r="F2" s="3" t="s">
        <v>8</v>
      </c>
      <c r="G2" s="3" t="s">
        <v>9</v>
      </c>
    </row>
    <row r="3" spans="3:7" x14ac:dyDescent="0.3">
      <c r="C3" t="s">
        <v>0</v>
      </c>
      <c r="D3" s="1">
        <v>96.02</v>
      </c>
      <c r="E3" s="11">
        <v>45751</v>
      </c>
      <c r="F3" s="11">
        <f ca="1">TODAY()</f>
        <v>45781</v>
      </c>
      <c r="G3" s="11">
        <v>45790</v>
      </c>
    </row>
    <row r="4" spans="3:7" x14ac:dyDescent="0.3">
      <c r="C4" t="s">
        <v>1</v>
      </c>
      <c r="D4" s="2">
        <f>129.5+55</f>
        <v>184.5</v>
      </c>
      <c r="E4" s="3" t="s">
        <v>62</v>
      </c>
    </row>
    <row r="5" spans="3:7" x14ac:dyDescent="0.3">
      <c r="C5" t="s">
        <v>2</v>
      </c>
      <c r="D5" s="2">
        <f>D3*D4</f>
        <v>17715.689999999999</v>
      </c>
    </row>
    <row r="6" spans="3:7" x14ac:dyDescent="0.3">
      <c r="C6" t="s">
        <v>3</v>
      </c>
      <c r="D6" s="2">
        <f>635.7+1315.4</f>
        <v>1951.1000000000001</v>
      </c>
      <c r="E6" s="3" t="s">
        <v>62</v>
      </c>
    </row>
    <row r="7" spans="3:7" x14ac:dyDescent="0.3">
      <c r="C7" t="s">
        <v>4</v>
      </c>
      <c r="D7" s="2">
        <v>0</v>
      </c>
      <c r="E7" s="3" t="s">
        <v>62</v>
      </c>
    </row>
    <row r="8" spans="3:7" x14ac:dyDescent="0.3">
      <c r="C8" t="s">
        <v>5</v>
      </c>
      <c r="D8" s="2">
        <f>D6-D7</f>
        <v>1951.1000000000001</v>
      </c>
    </row>
    <row r="9" spans="3:7" x14ac:dyDescent="0.3">
      <c r="C9" t="s">
        <v>6</v>
      </c>
      <c r="D9" s="2">
        <f>D5-D8</f>
        <v>15764.589999999998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A926-C368-443C-82AB-009CB4B745BA}">
  <dimension ref="A2:EN48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Y1" sqref="Y1"/>
    </sheetView>
  </sheetViews>
  <sheetFormatPr defaultRowHeight="14.4" x14ac:dyDescent="0.3"/>
  <cols>
    <col min="2" max="2" width="15.6640625" customWidth="1"/>
    <col min="35" max="35" width="14.88671875" customWidth="1"/>
    <col min="36" max="36" width="16.44140625" bestFit="1" customWidth="1"/>
  </cols>
  <sheetData>
    <row r="2" spans="1:143" x14ac:dyDescent="0.3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62</v>
      </c>
      <c r="P2" s="4" t="s">
        <v>63</v>
      </c>
      <c r="Q2" s="4" t="s">
        <v>64</v>
      </c>
      <c r="R2" s="4" t="s">
        <v>65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</row>
    <row r="3" spans="1:143" s="6" customFormat="1" x14ac:dyDescent="0.3">
      <c r="A3"/>
      <c r="B3" s="6" t="s">
        <v>10</v>
      </c>
      <c r="G3" s="7">
        <v>163.69999999999999</v>
      </c>
      <c r="H3" s="7">
        <v>183</v>
      </c>
      <c r="I3" s="7">
        <v>207.5</v>
      </c>
      <c r="J3" s="7">
        <v>249.8</v>
      </c>
      <c r="K3" s="7">
        <v>243</v>
      </c>
      <c r="L3" s="7">
        <v>281.2</v>
      </c>
      <c r="M3" s="7">
        <v>348.4</v>
      </c>
      <c r="N3" s="7">
        <v>427.7</v>
      </c>
      <c r="O3" s="7">
        <v>392.4</v>
      </c>
      <c r="P3" s="7">
        <f>L3*1.45</f>
        <v>407.73999999999995</v>
      </c>
      <c r="Q3" s="7">
        <f>M3*1.25</f>
        <v>435.5</v>
      </c>
      <c r="R3" s="7">
        <f>N3*1.2</f>
        <v>513.24</v>
      </c>
      <c r="T3" s="7">
        <v>666.7</v>
      </c>
      <c r="U3" s="7">
        <v>804</v>
      </c>
      <c r="V3" s="7">
        <f>SUM(K3:N3)</f>
        <v>1300.3</v>
      </c>
      <c r="W3" s="7">
        <f>SUM(O3:R3)</f>
        <v>1748.8799999999999</v>
      </c>
      <c r="X3" s="7">
        <f>W3*1.17</f>
        <v>2046.1895999999997</v>
      </c>
      <c r="Y3" s="7">
        <f>X3*1.13</f>
        <v>2312.1942479999993</v>
      </c>
      <c r="Z3" s="7">
        <f>Y3*1.11</f>
        <v>2566.5356152799995</v>
      </c>
      <c r="AA3" s="7">
        <f>Z3*1.07</f>
        <v>2746.1931083495997</v>
      </c>
      <c r="AB3" s="7">
        <f>AA3*1.05</f>
        <v>2883.5027637670796</v>
      </c>
      <c r="AC3" s="7">
        <f>AB3*1.04</f>
        <v>2998.8428743177628</v>
      </c>
      <c r="AD3" s="7">
        <f>AC3*1.03</f>
        <v>3088.8081605472958</v>
      </c>
      <c r="AE3" s="7">
        <f t="shared" ref="AE3:AG3" si="0">AD3*1.03</f>
        <v>3181.4724053637146</v>
      </c>
      <c r="AF3" s="7">
        <f t="shared" si="0"/>
        <v>3276.9165775246261</v>
      </c>
      <c r="AG3" s="7">
        <f t="shared" si="0"/>
        <v>3375.224074850365</v>
      </c>
    </row>
    <row r="4" spans="1:143" x14ac:dyDescent="0.3">
      <c r="B4" t="s">
        <v>11</v>
      </c>
      <c r="G4" s="2">
        <v>26.9</v>
      </c>
      <c r="H4" s="2">
        <v>28.8</v>
      </c>
      <c r="I4" s="2">
        <v>26.4</v>
      </c>
      <c r="J4" s="2">
        <v>28.9</v>
      </c>
      <c r="K4" s="2">
        <v>27.6</v>
      </c>
      <c r="L4" s="2">
        <v>29.5</v>
      </c>
      <c r="M4" s="2">
        <v>34.6</v>
      </c>
      <c r="N4" s="2">
        <v>31.8</v>
      </c>
      <c r="O4" s="2">
        <v>37.1</v>
      </c>
      <c r="P4" s="2">
        <f t="shared" ref="P4:R4" si="1">P3-P5</f>
        <v>36.696599999999989</v>
      </c>
      <c r="Q4" s="2">
        <f t="shared" si="1"/>
        <v>39.194999999999993</v>
      </c>
      <c r="R4" s="2">
        <f t="shared" si="1"/>
        <v>41.059199999999976</v>
      </c>
      <c r="T4" s="2">
        <v>104.8</v>
      </c>
      <c r="U4" s="2">
        <v>111</v>
      </c>
      <c r="V4" s="2">
        <f>SUM(K4:N4)</f>
        <v>123.5</v>
      </c>
      <c r="W4" s="12">
        <f>SUM(O4:R4)</f>
        <v>154.05079999999995</v>
      </c>
      <c r="X4" s="2">
        <f>SUM(M4:T4)</f>
        <v>325.25079999999997</v>
      </c>
      <c r="Y4" s="2">
        <f>SUM(N4:U4)</f>
        <v>401.65079999999995</v>
      </c>
      <c r="Z4" s="2">
        <f t="shared" ref="Z4:AG4" si="2">SUM(S4:V4)</f>
        <v>339.3</v>
      </c>
      <c r="AA4" s="2">
        <f t="shared" si="2"/>
        <v>493.35079999999994</v>
      </c>
      <c r="AB4" s="2">
        <f t="shared" si="2"/>
        <v>713.80160000000001</v>
      </c>
      <c r="AC4" s="2">
        <f t="shared" si="2"/>
        <v>1004.4523999999999</v>
      </c>
      <c r="AD4" s="2">
        <f t="shared" si="2"/>
        <v>1220.2523999999999</v>
      </c>
      <c r="AE4" s="2">
        <f t="shared" si="2"/>
        <v>1559.5523999999998</v>
      </c>
      <c r="AF4" s="2">
        <f t="shared" si="2"/>
        <v>1948.1031999999998</v>
      </c>
      <c r="AG4" s="2">
        <f t="shared" si="2"/>
        <v>2550.9047999999998</v>
      </c>
    </row>
    <row r="5" spans="1:143" s="6" customFormat="1" x14ac:dyDescent="0.3">
      <c r="A5"/>
      <c r="B5" s="6" t="s">
        <v>12</v>
      </c>
      <c r="G5" s="7">
        <f t="shared" ref="G5:O5" si="3">G3-G4</f>
        <v>136.79999999999998</v>
      </c>
      <c r="H5" s="7">
        <f t="shared" si="3"/>
        <v>154.19999999999999</v>
      </c>
      <c r="I5" s="7">
        <f t="shared" si="3"/>
        <v>181.1</v>
      </c>
      <c r="J5" s="7">
        <f t="shared" si="3"/>
        <v>220.9</v>
      </c>
      <c r="K5" s="7">
        <f t="shared" si="3"/>
        <v>215.4</v>
      </c>
      <c r="L5" s="7">
        <f t="shared" si="3"/>
        <v>251.7</v>
      </c>
      <c r="M5" s="7">
        <f t="shared" si="3"/>
        <v>313.79999999999995</v>
      </c>
      <c r="N5" s="7">
        <f t="shared" si="3"/>
        <v>395.9</v>
      </c>
      <c r="O5" s="7">
        <f t="shared" si="3"/>
        <v>355.29999999999995</v>
      </c>
      <c r="P5" s="7">
        <f>P3*0.91</f>
        <v>371.04339999999996</v>
      </c>
      <c r="Q5" s="7">
        <f t="shared" ref="Q5:R5" si="4">Q3*0.91</f>
        <v>396.30500000000001</v>
      </c>
      <c r="R5" s="7">
        <f>R3*0.92</f>
        <v>472.18080000000003</v>
      </c>
      <c r="T5" s="7">
        <f>T3-T4</f>
        <v>561.90000000000009</v>
      </c>
      <c r="U5" s="7">
        <f>U3-U4</f>
        <v>693</v>
      </c>
      <c r="V5" s="7">
        <f>V3-V4</f>
        <v>1176.8</v>
      </c>
      <c r="W5" s="7">
        <f>W3-W4</f>
        <v>1594.8291999999999</v>
      </c>
      <c r="X5" s="7">
        <f>X3*0.92</f>
        <v>1882.4944319999997</v>
      </c>
      <c r="Y5" s="7">
        <f t="shared" ref="Y5:AG5" si="5">Y3*0.92</f>
        <v>2127.2187081599996</v>
      </c>
      <c r="Z5" s="7">
        <f t="shared" si="5"/>
        <v>2361.2127660575998</v>
      </c>
      <c r="AA5" s="7">
        <f t="shared" si="5"/>
        <v>2526.4976596816318</v>
      </c>
      <c r="AB5" s="7">
        <f t="shared" si="5"/>
        <v>2652.8225426657132</v>
      </c>
      <c r="AC5" s="7">
        <f t="shared" si="5"/>
        <v>2758.9354443723419</v>
      </c>
      <c r="AD5" s="7">
        <f t="shared" si="5"/>
        <v>2841.7035077035121</v>
      </c>
      <c r="AE5" s="7">
        <f t="shared" si="5"/>
        <v>2926.9546129346177</v>
      </c>
      <c r="AF5" s="7">
        <f t="shared" si="5"/>
        <v>3014.7632513226563</v>
      </c>
      <c r="AG5" s="7">
        <f t="shared" si="5"/>
        <v>3105.2061488623358</v>
      </c>
    </row>
    <row r="6" spans="1:143" x14ac:dyDescent="0.3">
      <c r="B6" t="s">
        <v>13</v>
      </c>
      <c r="G6" s="2">
        <v>108.8</v>
      </c>
      <c r="H6" s="2">
        <v>109.7</v>
      </c>
      <c r="I6" s="2">
        <v>108.3</v>
      </c>
      <c r="J6" s="2">
        <v>111.6</v>
      </c>
      <c r="K6" s="2">
        <v>437</v>
      </c>
      <c r="L6" s="2">
        <v>142.80000000000001</v>
      </c>
      <c r="M6" s="2">
        <v>166.7</v>
      </c>
      <c r="N6" s="2">
        <v>188.6</v>
      </c>
      <c r="O6" s="2">
        <v>191.3</v>
      </c>
      <c r="P6" s="2">
        <f>L6*1.3</f>
        <v>185.64000000000001</v>
      </c>
      <c r="Q6" s="2">
        <f>M6*1.2</f>
        <v>200.04</v>
      </c>
      <c r="R6" s="2">
        <f>N6*1.2</f>
        <v>226.32</v>
      </c>
      <c r="T6" s="2">
        <v>365.2</v>
      </c>
      <c r="U6" s="2">
        <v>438.3</v>
      </c>
      <c r="V6" s="2">
        <f>SUM(K6:N6)</f>
        <v>935.1</v>
      </c>
      <c r="W6" s="12">
        <f>SUM(O6:R6)</f>
        <v>803.3</v>
      </c>
      <c r="X6" s="2">
        <f t="shared" ref="X6:Y6" si="6">W6*1.05</f>
        <v>843.46500000000003</v>
      </c>
      <c r="Y6" s="2">
        <f t="shared" si="6"/>
        <v>885.63825000000008</v>
      </c>
      <c r="Z6" s="2">
        <f>Y6*1.04</f>
        <v>921.06378000000007</v>
      </c>
      <c r="AA6" s="2">
        <f>Z6*1.03</f>
        <v>948.6956934000001</v>
      </c>
      <c r="AB6" s="2">
        <f t="shared" ref="AB6:AG6" si="7">AA6*1.03</f>
        <v>977.15656420200014</v>
      </c>
      <c r="AC6" s="2">
        <f t="shared" si="7"/>
        <v>1006.4712611280602</v>
      </c>
      <c r="AD6" s="2">
        <f t="shared" si="7"/>
        <v>1036.6653989619019</v>
      </c>
      <c r="AE6" s="2">
        <f t="shared" si="7"/>
        <v>1067.765360930759</v>
      </c>
      <c r="AF6" s="2">
        <f t="shared" si="7"/>
        <v>1099.7983217586818</v>
      </c>
      <c r="AG6" s="2">
        <f t="shared" si="7"/>
        <v>1132.7922714114422</v>
      </c>
    </row>
    <row r="7" spans="1:143" x14ac:dyDescent="0.3">
      <c r="B7" t="s">
        <v>14</v>
      </c>
      <c r="G7" s="2">
        <v>57.9</v>
      </c>
      <c r="H7" s="2">
        <v>59.2</v>
      </c>
      <c r="I7" s="2">
        <v>55.1</v>
      </c>
      <c r="J7" s="2">
        <v>57.9</v>
      </c>
      <c r="K7" s="2">
        <v>124.1</v>
      </c>
      <c r="L7" s="2">
        <v>71.5</v>
      </c>
      <c r="M7" s="2">
        <v>74.5</v>
      </c>
      <c r="N7" s="2">
        <v>80.5</v>
      </c>
      <c r="O7" s="2">
        <v>90.7</v>
      </c>
      <c r="P7" s="2">
        <f>P3*0.23</f>
        <v>93.780199999999994</v>
      </c>
      <c r="Q7" s="2">
        <f>Q3*0.21</f>
        <v>91.454999999999998</v>
      </c>
      <c r="R7" s="2">
        <f>R3*0.19</f>
        <v>97.515600000000006</v>
      </c>
      <c r="T7" s="2">
        <v>225.1</v>
      </c>
      <c r="U7" s="2">
        <v>230.2</v>
      </c>
      <c r="V7" s="2">
        <f>SUM(K7:N7)</f>
        <v>350.6</v>
      </c>
      <c r="W7" s="12">
        <f>SUM(O7:R7)</f>
        <v>373.45080000000002</v>
      </c>
      <c r="X7" s="2">
        <f>X3*0.2</f>
        <v>409.23791999999997</v>
      </c>
      <c r="Y7" s="2">
        <f t="shared" ref="Y7:AG7" si="8">Y3*0.2</f>
        <v>462.43884959999991</v>
      </c>
      <c r="Z7" s="2">
        <f t="shared" si="8"/>
        <v>513.30712305599991</v>
      </c>
      <c r="AA7" s="2">
        <f t="shared" si="8"/>
        <v>549.23862166992001</v>
      </c>
      <c r="AB7" s="2">
        <f t="shared" si="8"/>
        <v>576.70055275341599</v>
      </c>
      <c r="AC7" s="2">
        <f t="shared" si="8"/>
        <v>599.76857486355254</v>
      </c>
      <c r="AD7" s="2">
        <f t="shared" si="8"/>
        <v>617.76163210945924</v>
      </c>
      <c r="AE7" s="2">
        <f t="shared" si="8"/>
        <v>636.294481072743</v>
      </c>
      <c r="AF7" s="2">
        <f t="shared" si="8"/>
        <v>655.38331550492524</v>
      </c>
      <c r="AG7" s="2">
        <f t="shared" si="8"/>
        <v>675.04481497007305</v>
      </c>
    </row>
    <row r="8" spans="1:143" x14ac:dyDescent="0.3">
      <c r="B8" t="s">
        <v>15</v>
      </c>
      <c r="G8" s="2">
        <v>40.799999999999997</v>
      </c>
      <c r="H8" s="2">
        <v>38.200000000000003</v>
      </c>
      <c r="I8" s="2">
        <v>37.299999999999997</v>
      </c>
      <c r="J8" s="2">
        <v>48.3</v>
      </c>
      <c r="K8" s="2">
        <v>243.5</v>
      </c>
      <c r="L8" s="2">
        <v>68.5</v>
      </c>
      <c r="M8" s="2">
        <v>65.7</v>
      </c>
      <c r="N8" s="2">
        <v>73.8</v>
      </c>
      <c r="O8" s="2">
        <v>69.400000000000006</v>
      </c>
      <c r="P8" s="2">
        <f>L8*1.1</f>
        <v>75.350000000000009</v>
      </c>
      <c r="Q8" s="2">
        <f>M8*1.18</f>
        <v>77.525999999999996</v>
      </c>
      <c r="R8" s="2">
        <f>N8*1.14</f>
        <v>84.131999999999991</v>
      </c>
      <c r="T8" s="2">
        <v>143.80000000000001</v>
      </c>
      <c r="U8" s="2">
        <v>164.7</v>
      </c>
      <c r="V8" s="2">
        <f>SUM(K8:N8)</f>
        <v>451.5</v>
      </c>
      <c r="W8" s="12">
        <f>SUM(O8:R8)</f>
        <v>306.40800000000002</v>
      </c>
      <c r="X8" s="2">
        <f>W8*1.03</f>
        <v>315.60024000000004</v>
      </c>
      <c r="Y8" s="2">
        <f>X8*1.03</f>
        <v>325.06824720000003</v>
      </c>
      <c r="Z8" s="2">
        <f>Y8*1.03</f>
        <v>334.82029461600001</v>
      </c>
      <c r="AA8" s="2">
        <f>Z8*1.02</f>
        <v>341.51670050832001</v>
      </c>
      <c r="AB8" s="2">
        <f>AA8*1.02</f>
        <v>348.3470345184864</v>
      </c>
      <c r="AC8" s="2">
        <f t="shared" ref="AC8:AG8" si="9">AB8*1.02</f>
        <v>355.31397520885611</v>
      </c>
      <c r="AD8" s="2">
        <f t="shared" si="9"/>
        <v>362.42025471303322</v>
      </c>
      <c r="AE8" s="2">
        <f t="shared" si="9"/>
        <v>369.66865980729386</v>
      </c>
      <c r="AF8" s="2">
        <f t="shared" si="9"/>
        <v>377.06203300343975</v>
      </c>
      <c r="AG8" s="2">
        <f t="shared" si="9"/>
        <v>384.60327366350856</v>
      </c>
    </row>
    <row r="9" spans="1:143" s="6" customFormat="1" x14ac:dyDescent="0.3">
      <c r="A9"/>
      <c r="B9" s="6" t="s">
        <v>16</v>
      </c>
      <c r="G9" s="7">
        <f>G5-SUM(G6:G8)</f>
        <v>-70.700000000000017</v>
      </c>
      <c r="H9" s="7">
        <f t="shared" ref="H9" si="10">H5-SUM(H6:H8)</f>
        <v>-52.900000000000034</v>
      </c>
      <c r="I9" s="7">
        <f t="shared" ref="I9" si="11">I5-SUM(I6:I8)</f>
        <v>-19.599999999999994</v>
      </c>
      <c r="J9" s="7">
        <f t="shared" ref="J9" si="12">J5-SUM(J6:J8)</f>
        <v>3.0999999999999943</v>
      </c>
      <c r="K9" s="7">
        <f>K5-SUM(K6:K8)</f>
        <v>-589.20000000000005</v>
      </c>
      <c r="L9" s="7">
        <f t="shared" ref="L9:R9" si="13">L5-SUM(L6:L8)</f>
        <v>-31.100000000000023</v>
      </c>
      <c r="M9" s="7">
        <f t="shared" si="13"/>
        <v>6.8999999999999773</v>
      </c>
      <c r="N9" s="7">
        <f t="shared" si="13"/>
        <v>52.999999999999943</v>
      </c>
      <c r="O9" s="7">
        <f t="shared" si="13"/>
        <v>3.8999999999999773</v>
      </c>
      <c r="P9" s="7">
        <f t="shared" si="13"/>
        <v>16.273199999999918</v>
      </c>
      <c r="Q9" s="7">
        <f t="shared" si="13"/>
        <v>27.283999999999992</v>
      </c>
      <c r="R9" s="7">
        <f t="shared" si="13"/>
        <v>64.213200000000029</v>
      </c>
      <c r="T9" s="7">
        <f>T5-SUM(T6:T8)</f>
        <v>-172.19999999999982</v>
      </c>
      <c r="U9" s="7">
        <f>U5-SUM(U6:U8)</f>
        <v>-140.20000000000005</v>
      </c>
      <c r="V9" s="7">
        <f>V5-SUM(V6:V8)</f>
        <v>-560.40000000000009</v>
      </c>
      <c r="W9" s="7">
        <f>W5-SUM(W6:W8)</f>
        <v>111.67039999999974</v>
      </c>
      <c r="X9" s="7">
        <f t="shared" ref="X9:AG9" si="14">X5-SUM(X6:X8)</f>
        <v>314.1912719999998</v>
      </c>
      <c r="Y9" s="7">
        <f t="shared" si="14"/>
        <v>454.07336135999935</v>
      </c>
      <c r="Z9" s="7">
        <f t="shared" si="14"/>
        <v>592.02156838559995</v>
      </c>
      <c r="AA9" s="7">
        <f t="shared" si="14"/>
        <v>687.04664410339183</v>
      </c>
      <c r="AB9" s="7">
        <f t="shared" si="14"/>
        <v>750.61839119181059</v>
      </c>
      <c r="AC9" s="7">
        <f t="shared" si="14"/>
        <v>797.38163317187286</v>
      </c>
      <c r="AD9" s="7">
        <f t="shared" si="14"/>
        <v>824.85622191911762</v>
      </c>
      <c r="AE9" s="7">
        <f t="shared" si="14"/>
        <v>853.22611112382174</v>
      </c>
      <c r="AF9" s="7">
        <f t="shared" si="14"/>
        <v>882.51958105560925</v>
      </c>
      <c r="AG9" s="7">
        <f t="shared" si="14"/>
        <v>912.76578881731211</v>
      </c>
    </row>
    <row r="10" spans="1:143" x14ac:dyDescent="0.3">
      <c r="B10" t="s">
        <v>17</v>
      </c>
      <c r="G10" s="2">
        <v>-10.7</v>
      </c>
      <c r="H10" s="2">
        <v>-13.3</v>
      </c>
      <c r="I10" s="2">
        <v>-12.6</v>
      </c>
      <c r="J10" s="2">
        <v>-16.5</v>
      </c>
      <c r="K10" s="2">
        <v>-14.6</v>
      </c>
      <c r="L10" s="2">
        <v>-20.7</v>
      </c>
      <c r="M10" s="2">
        <v>-23</v>
      </c>
      <c r="N10" s="2">
        <v>-17.100000000000001</v>
      </c>
      <c r="O10" s="2">
        <v>-20.5</v>
      </c>
      <c r="P10" s="2">
        <f t="shared" ref="P10:R10" si="15">L10*1.03</f>
        <v>-21.321000000000002</v>
      </c>
      <c r="Q10" s="2">
        <f t="shared" si="15"/>
        <v>-23.69</v>
      </c>
      <c r="R10" s="2">
        <f t="shared" si="15"/>
        <v>-17.613000000000003</v>
      </c>
      <c r="T10" s="2">
        <v>-14.2</v>
      </c>
      <c r="U10" s="2">
        <v>-53.1</v>
      </c>
      <c r="V10" s="2">
        <f>SUM(K10:N10)</f>
        <v>-75.400000000000006</v>
      </c>
      <c r="W10" s="12">
        <f>SUM(O10:R10)</f>
        <v>-83.123999999999995</v>
      </c>
      <c r="X10" s="2">
        <f t="shared" ref="X10:AG10" si="16">W10*1.03</f>
        <v>-85.617719999999991</v>
      </c>
      <c r="Y10" s="2">
        <f t="shared" si="16"/>
        <v>-88.186251599999991</v>
      </c>
      <c r="Z10" s="2">
        <f t="shared" si="16"/>
        <v>-90.831839148</v>
      </c>
      <c r="AA10" s="2">
        <f t="shared" si="16"/>
        <v>-93.556794322439998</v>
      </c>
      <c r="AB10" s="2">
        <f t="shared" si="16"/>
        <v>-96.363498152113195</v>
      </c>
      <c r="AC10" s="2">
        <f t="shared" si="16"/>
        <v>-99.254403096676597</v>
      </c>
      <c r="AD10" s="2">
        <f t="shared" si="16"/>
        <v>-102.23203518957689</v>
      </c>
      <c r="AE10" s="2">
        <f t="shared" si="16"/>
        <v>-105.29899624526421</v>
      </c>
      <c r="AF10" s="2">
        <f t="shared" si="16"/>
        <v>-108.45796613262213</v>
      </c>
      <c r="AG10" s="2">
        <f t="shared" si="16"/>
        <v>-111.7117051166008</v>
      </c>
    </row>
    <row r="11" spans="1:143" s="6" customFormat="1" x14ac:dyDescent="0.3">
      <c r="A11"/>
      <c r="B11" s="6" t="s">
        <v>18</v>
      </c>
      <c r="G11" s="7">
        <f>G9-G10</f>
        <v>-60.000000000000014</v>
      </c>
      <c r="H11" s="7">
        <f t="shared" ref="H11" si="17">H9-H10</f>
        <v>-39.600000000000037</v>
      </c>
      <c r="I11" s="7">
        <f t="shared" ref="I11" si="18">I9-I10</f>
        <v>-6.9999999999999947</v>
      </c>
      <c r="J11" s="7">
        <f t="shared" ref="J11" si="19">J9-J10</f>
        <v>19.599999999999994</v>
      </c>
      <c r="K11" s="7">
        <f>K9-K10</f>
        <v>-574.6</v>
      </c>
      <c r="L11" s="7">
        <f t="shared" ref="L11:R11" si="20">L9-L10</f>
        <v>-10.400000000000023</v>
      </c>
      <c r="M11" s="7">
        <f t="shared" si="20"/>
        <v>29.899999999999977</v>
      </c>
      <c r="N11" s="7">
        <f t="shared" si="20"/>
        <v>70.099999999999937</v>
      </c>
      <c r="O11" s="7">
        <f t="shared" si="20"/>
        <v>24.399999999999977</v>
      </c>
      <c r="P11" s="7">
        <f t="shared" si="20"/>
        <v>37.594199999999915</v>
      </c>
      <c r="Q11" s="7">
        <f t="shared" si="20"/>
        <v>50.97399999999999</v>
      </c>
      <c r="R11" s="7">
        <f t="shared" si="20"/>
        <v>81.826200000000028</v>
      </c>
      <c r="T11" s="7">
        <f>T9-T10</f>
        <v>-157.99999999999983</v>
      </c>
      <c r="U11" s="7">
        <f>U9-U10</f>
        <v>-87.100000000000051</v>
      </c>
      <c r="V11" s="7">
        <f>V9-V10</f>
        <v>-485.00000000000011</v>
      </c>
      <c r="W11" s="7">
        <f>W9-W10</f>
        <v>194.79439999999974</v>
      </c>
      <c r="X11" s="7">
        <f t="shared" ref="X11:AG11" si="21">X9-X10</f>
        <v>399.80899199999976</v>
      </c>
      <c r="Y11" s="7">
        <f t="shared" si="21"/>
        <v>542.25961295999934</v>
      </c>
      <c r="Z11" s="7">
        <f t="shared" si="21"/>
        <v>682.85340753359992</v>
      </c>
      <c r="AA11" s="7">
        <f t="shared" si="21"/>
        <v>780.60343842583188</v>
      </c>
      <c r="AB11" s="7">
        <f t="shared" si="21"/>
        <v>846.98188934392374</v>
      </c>
      <c r="AC11" s="7">
        <f t="shared" si="21"/>
        <v>896.63603626854945</v>
      </c>
      <c r="AD11" s="7">
        <f t="shared" si="21"/>
        <v>927.08825710869451</v>
      </c>
      <c r="AE11" s="7">
        <f t="shared" si="21"/>
        <v>958.52510736908596</v>
      </c>
      <c r="AF11" s="7">
        <f t="shared" si="21"/>
        <v>990.97754718823137</v>
      </c>
      <c r="AG11" s="7">
        <f t="shared" si="21"/>
        <v>1024.4774939339129</v>
      </c>
    </row>
    <row r="12" spans="1:143" x14ac:dyDescent="0.3">
      <c r="B12" t="s">
        <v>19</v>
      </c>
      <c r="G12" s="2">
        <v>1</v>
      </c>
      <c r="H12" s="2">
        <v>1.4</v>
      </c>
      <c r="I12" s="2">
        <v>0.4</v>
      </c>
      <c r="J12" s="2">
        <v>0.9</v>
      </c>
      <c r="K12" s="2">
        <v>0.4</v>
      </c>
      <c r="L12" s="2">
        <v>-0.2</v>
      </c>
      <c r="M12" s="2">
        <v>0</v>
      </c>
      <c r="N12" s="2">
        <v>-1</v>
      </c>
      <c r="O12" s="2">
        <v>-1.7</v>
      </c>
      <c r="P12" s="2">
        <v>0</v>
      </c>
      <c r="Q12" s="2">
        <v>0</v>
      </c>
      <c r="R12" s="2">
        <v>0</v>
      </c>
      <c r="T12" s="2">
        <v>0.6</v>
      </c>
      <c r="U12" s="2">
        <v>3.8</v>
      </c>
      <c r="V12" s="2">
        <f>SUM(K12:N12)</f>
        <v>-0.8</v>
      </c>
      <c r="W12" s="12">
        <f>SUM(O12:R12)</f>
        <v>-1.7</v>
      </c>
      <c r="X12" s="2">
        <f t="shared" ref="X12:AG12" si="22">X11*0.15</f>
        <v>59.971348799999959</v>
      </c>
      <c r="Y12" s="2">
        <f t="shared" si="22"/>
        <v>81.338941943999899</v>
      </c>
      <c r="Z12" s="2">
        <f t="shared" si="22"/>
        <v>102.42801113003999</v>
      </c>
      <c r="AA12" s="2">
        <f t="shared" si="22"/>
        <v>117.09051576387478</v>
      </c>
      <c r="AB12" s="2">
        <f t="shared" si="22"/>
        <v>127.04728340158856</v>
      </c>
      <c r="AC12" s="2">
        <f t="shared" si="22"/>
        <v>134.49540544028241</v>
      </c>
      <c r="AD12" s="2">
        <f t="shared" si="22"/>
        <v>139.06323856630416</v>
      </c>
      <c r="AE12" s="2">
        <f t="shared" si="22"/>
        <v>143.77876610536288</v>
      </c>
      <c r="AF12" s="2">
        <f t="shared" si="22"/>
        <v>148.64663207823469</v>
      </c>
      <c r="AG12" s="2">
        <f t="shared" si="22"/>
        <v>153.67162409008694</v>
      </c>
    </row>
    <row r="13" spans="1:143" s="6" customFormat="1" x14ac:dyDescent="0.3">
      <c r="A13"/>
      <c r="B13" s="6" t="s">
        <v>20</v>
      </c>
      <c r="G13" s="7">
        <f>G11-G12</f>
        <v>-61.000000000000014</v>
      </c>
      <c r="H13" s="7">
        <f t="shared" ref="H13" si="23">H11-H12</f>
        <v>-41.000000000000036</v>
      </c>
      <c r="I13" s="7">
        <f t="shared" ref="I13" si="24">I11-I12</f>
        <v>-7.399999999999995</v>
      </c>
      <c r="J13" s="7">
        <f t="shared" ref="J13" si="25">J11-J12</f>
        <v>18.699999999999996</v>
      </c>
      <c r="K13" s="7">
        <f>K11-K12</f>
        <v>-575</v>
      </c>
      <c r="L13" s="7">
        <f t="shared" ref="L13:N13" si="26">L11-L12</f>
        <v>-10.200000000000024</v>
      </c>
      <c r="M13" s="7">
        <f t="shared" si="26"/>
        <v>29.899999999999977</v>
      </c>
      <c r="N13" s="7">
        <f t="shared" si="26"/>
        <v>71.099999999999937</v>
      </c>
      <c r="O13" s="7">
        <f t="shared" ref="O13:R13" si="27">O11-O12</f>
        <v>26.099999999999977</v>
      </c>
      <c r="P13" s="7">
        <f t="shared" si="27"/>
        <v>37.594199999999915</v>
      </c>
      <c r="Q13" s="7">
        <f t="shared" si="27"/>
        <v>50.97399999999999</v>
      </c>
      <c r="R13" s="7">
        <f t="shared" si="27"/>
        <v>81.826200000000028</v>
      </c>
      <c r="T13" s="7">
        <f>T11-T12</f>
        <v>-158.59999999999982</v>
      </c>
      <c r="U13" s="7">
        <f>U11-U12</f>
        <v>-90.900000000000048</v>
      </c>
      <c r="V13" s="7">
        <f>V11-V12</f>
        <v>-484.2000000000001</v>
      </c>
      <c r="W13" s="7">
        <f t="shared" ref="W13" si="28">W11-W12</f>
        <v>196.49439999999973</v>
      </c>
      <c r="X13" s="7">
        <f t="shared" ref="X13" si="29">X11-X12</f>
        <v>339.83764319999977</v>
      </c>
      <c r="Y13" s="7">
        <f t="shared" ref="Y13" si="30">Y11-Y12</f>
        <v>460.92067101599946</v>
      </c>
      <c r="Z13" s="7">
        <f t="shared" ref="Z13" si="31">Z11-Z12</f>
        <v>580.42539640355994</v>
      </c>
      <c r="AA13" s="7">
        <f t="shared" ref="AA13" si="32">AA11-AA12</f>
        <v>663.51292266195708</v>
      </c>
      <c r="AB13" s="7">
        <f t="shared" ref="AB13" si="33">AB11-AB12</f>
        <v>719.93460594233522</v>
      </c>
      <c r="AC13" s="7">
        <f t="shared" ref="AC13" si="34">AC11-AC12</f>
        <v>762.14063082826704</v>
      </c>
      <c r="AD13" s="7">
        <f t="shared" ref="AD13" si="35">AD11-AD12</f>
        <v>788.0250185423904</v>
      </c>
      <c r="AE13" s="7">
        <f t="shared" ref="AE13" si="36">AE11-AE12</f>
        <v>814.74634126372302</v>
      </c>
      <c r="AF13" s="7">
        <f t="shared" ref="AF13" si="37">AF11-AF12</f>
        <v>842.33091510999668</v>
      </c>
      <c r="AG13" s="7">
        <f t="shared" ref="AG13" si="38">AG11-AG12</f>
        <v>870.80586984382603</v>
      </c>
      <c r="AH13" s="6">
        <f>AG13*(1+$AJ$18)</f>
        <v>862.09781114538771</v>
      </c>
      <c r="AI13" s="6">
        <f t="shared" ref="AI13:CT13" si="39">AH13*(1+$AJ$18)</f>
        <v>853.47683303393387</v>
      </c>
      <c r="AJ13" s="6">
        <f t="shared" si="39"/>
        <v>844.9420647035945</v>
      </c>
      <c r="AK13" s="6">
        <f t="shared" si="39"/>
        <v>836.49264405655856</v>
      </c>
      <c r="AL13" s="6">
        <f t="shared" si="39"/>
        <v>828.12771761599299</v>
      </c>
      <c r="AM13" s="6">
        <f t="shared" si="39"/>
        <v>819.84644043983303</v>
      </c>
      <c r="AN13" s="6">
        <f t="shared" si="39"/>
        <v>811.64797603543468</v>
      </c>
      <c r="AO13" s="6">
        <f t="shared" si="39"/>
        <v>803.53149627508037</v>
      </c>
      <c r="AP13" s="6">
        <f t="shared" si="39"/>
        <v>795.49618131232955</v>
      </c>
      <c r="AQ13" s="6">
        <f t="shared" si="39"/>
        <v>787.54121949920625</v>
      </c>
      <c r="AR13" s="6">
        <f t="shared" si="39"/>
        <v>779.66580730421413</v>
      </c>
      <c r="AS13" s="6">
        <f t="shared" si="39"/>
        <v>771.86914923117195</v>
      </c>
      <c r="AT13" s="6">
        <f t="shared" si="39"/>
        <v>764.15045773886027</v>
      </c>
      <c r="AU13" s="6">
        <f t="shared" si="39"/>
        <v>756.50895316147171</v>
      </c>
      <c r="AV13" s="6">
        <f t="shared" si="39"/>
        <v>748.94386362985699</v>
      </c>
      <c r="AW13" s="6">
        <f t="shared" si="39"/>
        <v>741.4544249935584</v>
      </c>
      <c r="AX13" s="6">
        <f t="shared" si="39"/>
        <v>734.0398807436228</v>
      </c>
      <c r="AY13" s="6">
        <f t="shared" si="39"/>
        <v>726.69948193618654</v>
      </c>
      <c r="AZ13" s="6">
        <f t="shared" si="39"/>
        <v>719.43248711682463</v>
      </c>
      <c r="BA13" s="6">
        <f t="shared" si="39"/>
        <v>712.23816224565633</v>
      </c>
      <c r="BB13" s="6">
        <f t="shared" si="39"/>
        <v>705.11578062319973</v>
      </c>
      <c r="BC13" s="6">
        <f t="shared" si="39"/>
        <v>698.0646228169677</v>
      </c>
      <c r="BD13" s="6">
        <f t="shared" si="39"/>
        <v>691.08397658879801</v>
      </c>
      <c r="BE13" s="6">
        <f t="shared" si="39"/>
        <v>684.17313682291001</v>
      </c>
      <c r="BF13" s="6">
        <f t="shared" si="39"/>
        <v>677.33140545468086</v>
      </c>
      <c r="BG13" s="6">
        <f t="shared" si="39"/>
        <v>670.558091400134</v>
      </c>
      <c r="BH13" s="6">
        <f t="shared" si="39"/>
        <v>663.8525104861327</v>
      </c>
      <c r="BI13" s="6">
        <f t="shared" si="39"/>
        <v>657.21398538127141</v>
      </c>
      <c r="BJ13" s="6">
        <f t="shared" si="39"/>
        <v>650.64184552745871</v>
      </c>
      <c r="BK13" s="6">
        <f t="shared" si="39"/>
        <v>644.13542707218414</v>
      </c>
      <c r="BL13" s="6">
        <f t="shared" si="39"/>
        <v>637.69407280146231</v>
      </c>
      <c r="BM13" s="6">
        <f t="shared" si="39"/>
        <v>631.31713207344774</v>
      </c>
      <c r="BN13" s="6">
        <f t="shared" si="39"/>
        <v>625.00396075271328</v>
      </c>
      <c r="BO13" s="6">
        <f t="shared" si="39"/>
        <v>618.75392114518615</v>
      </c>
      <c r="BP13" s="6">
        <f t="shared" si="39"/>
        <v>612.56638193373431</v>
      </c>
      <c r="BQ13" s="6">
        <f t="shared" si="39"/>
        <v>606.44071811439699</v>
      </c>
      <c r="BR13" s="6">
        <f t="shared" si="39"/>
        <v>600.37631093325297</v>
      </c>
      <c r="BS13" s="6">
        <f t="shared" si="39"/>
        <v>594.3725478239204</v>
      </c>
      <c r="BT13" s="6">
        <f t="shared" si="39"/>
        <v>588.42882234568117</v>
      </c>
      <c r="BU13" s="6">
        <f t="shared" si="39"/>
        <v>582.54453412222438</v>
      </c>
      <c r="BV13" s="6">
        <f t="shared" si="39"/>
        <v>576.71908878100214</v>
      </c>
      <c r="BW13" s="6">
        <f t="shared" si="39"/>
        <v>570.95189789319215</v>
      </c>
      <c r="BX13" s="6">
        <f t="shared" si="39"/>
        <v>565.24237891426026</v>
      </c>
      <c r="BY13" s="6">
        <f t="shared" si="39"/>
        <v>559.58995512511763</v>
      </c>
      <c r="BZ13" s="6">
        <f t="shared" si="39"/>
        <v>553.99405557386649</v>
      </c>
      <c r="CA13" s="6">
        <f t="shared" si="39"/>
        <v>548.45411501812782</v>
      </c>
      <c r="CB13" s="6">
        <f t="shared" si="39"/>
        <v>542.96957386794656</v>
      </c>
      <c r="CC13" s="6">
        <f t="shared" si="39"/>
        <v>537.53987812926709</v>
      </c>
      <c r="CD13" s="6">
        <f t="shared" si="39"/>
        <v>532.16447934797441</v>
      </c>
      <c r="CE13" s="6">
        <f t="shared" si="39"/>
        <v>526.84283455449463</v>
      </c>
      <c r="CF13" s="6">
        <f t="shared" si="39"/>
        <v>521.57440620894965</v>
      </c>
      <c r="CG13" s="6">
        <f t="shared" si="39"/>
        <v>516.35866214686018</v>
      </c>
      <c r="CH13" s="6">
        <f t="shared" si="39"/>
        <v>511.19507552539159</v>
      </c>
      <c r="CI13" s="6">
        <f t="shared" si="39"/>
        <v>506.08312477013766</v>
      </c>
      <c r="CJ13" s="6">
        <f t="shared" si="39"/>
        <v>501.02229352243626</v>
      </c>
      <c r="CK13" s="6">
        <f t="shared" si="39"/>
        <v>496.01207058721189</v>
      </c>
      <c r="CL13" s="6">
        <f t="shared" si="39"/>
        <v>491.05194988133979</v>
      </c>
      <c r="CM13" s="6">
        <f t="shared" si="39"/>
        <v>486.14143038252638</v>
      </c>
      <c r="CN13" s="6">
        <f t="shared" si="39"/>
        <v>481.28001607870112</v>
      </c>
      <c r="CO13" s="6">
        <f t="shared" si="39"/>
        <v>476.46721591791413</v>
      </c>
      <c r="CP13" s="6">
        <f t="shared" si="39"/>
        <v>471.70254375873498</v>
      </c>
      <c r="CQ13" s="6">
        <f t="shared" si="39"/>
        <v>466.98551832114759</v>
      </c>
      <c r="CR13" s="6">
        <f t="shared" si="39"/>
        <v>462.3156631379361</v>
      </c>
      <c r="CS13" s="6">
        <f t="shared" si="39"/>
        <v>457.69250650655675</v>
      </c>
      <c r="CT13" s="6">
        <f t="shared" si="39"/>
        <v>453.1155814414912</v>
      </c>
      <c r="CU13" s="6">
        <f t="shared" ref="CU13:EM13" si="40">CT13*(1+$AJ$18)</f>
        <v>448.58442562707626</v>
      </c>
      <c r="CV13" s="6">
        <f t="shared" si="40"/>
        <v>444.0985813708055</v>
      </c>
      <c r="CW13" s="6">
        <f t="shared" si="40"/>
        <v>439.65759555709747</v>
      </c>
      <c r="CX13" s="6">
        <f t="shared" si="40"/>
        <v>435.26101960152647</v>
      </c>
      <c r="CY13" s="6">
        <f t="shared" si="40"/>
        <v>430.90840940551118</v>
      </c>
      <c r="CZ13" s="6">
        <f t="shared" si="40"/>
        <v>426.59932531145608</v>
      </c>
      <c r="DA13" s="6">
        <f t="shared" si="40"/>
        <v>422.33333205834151</v>
      </c>
      <c r="DB13" s="6">
        <f t="shared" si="40"/>
        <v>418.10999873775808</v>
      </c>
      <c r="DC13" s="6">
        <f t="shared" si="40"/>
        <v>413.92889875038048</v>
      </c>
      <c r="DD13" s="6">
        <f t="shared" si="40"/>
        <v>409.78960976287669</v>
      </c>
      <c r="DE13" s="6">
        <f t="shared" si="40"/>
        <v>405.6917136652479</v>
      </c>
      <c r="DF13" s="6">
        <f t="shared" si="40"/>
        <v>401.63479652859542</v>
      </c>
      <c r="DG13" s="6">
        <f t="shared" si="40"/>
        <v>397.61844856330947</v>
      </c>
      <c r="DH13" s="6">
        <f t="shared" si="40"/>
        <v>393.64226407767637</v>
      </c>
      <c r="DI13" s="6">
        <f t="shared" si="40"/>
        <v>389.70584143689962</v>
      </c>
      <c r="DJ13" s="6">
        <f t="shared" si="40"/>
        <v>385.80878302253063</v>
      </c>
      <c r="DK13" s="6">
        <f t="shared" si="40"/>
        <v>381.95069519230532</v>
      </c>
      <c r="DL13" s="6">
        <f t="shared" si="40"/>
        <v>378.13118824038224</v>
      </c>
      <c r="DM13" s="6">
        <f t="shared" si="40"/>
        <v>374.34987635797842</v>
      </c>
      <c r="DN13" s="6">
        <f t="shared" si="40"/>
        <v>370.60637759439862</v>
      </c>
      <c r="DO13" s="6">
        <f t="shared" si="40"/>
        <v>366.90031381845461</v>
      </c>
      <c r="DP13" s="6">
        <f t="shared" si="40"/>
        <v>363.23131068027004</v>
      </c>
      <c r="DQ13" s="6">
        <f t="shared" si="40"/>
        <v>359.59899757346733</v>
      </c>
      <c r="DR13" s="6">
        <f t="shared" si="40"/>
        <v>356.00300759773268</v>
      </c>
      <c r="DS13" s="6">
        <f t="shared" si="40"/>
        <v>352.44297752175532</v>
      </c>
      <c r="DT13" s="6">
        <f t="shared" si="40"/>
        <v>348.91854774653774</v>
      </c>
      <c r="DU13" s="6">
        <f t="shared" si="40"/>
        <v>345.42936226907239</v>
      </c>
      <c r="DV13" s="6">
        <f t="shared" si="40"/>
        <v>341.97506864638166</v>
      </c>
      <c r="DW13" s="6">
        <f t="shared" si="40"/>
        <v>338.55531795991783</v>
      </c>
      <c r="DX13" s="6">
        <f t="shared" si="40"/>
        <v>335.16976478031864</v>
      </c>
      <c r="DY13" s="6">
        <f t="shared" si="40"/>
        <v>331.81806713251547</v>
      </c>
      <c r="DZ13" s="6">
        <f t="shared" si="40"/>
        <v>328.49988646119033</v>
      </c>
      <c r="EA13" s="6">
        <f t="shared" si="40"/>
        <v>325.21488759657842</v>
      </c>
      <c r="EB13" s="6">
        <f t="shared" si="40"/>
        <v>321.96273872061261</v>
      </c>
      <c r="EC13" s="6">
        <f t="shared" si="40"/>
        <v>318.74311133340649</v>
      </c>
      <c r="ED13" s="6">
        <f t="shared" si="40"/>
        <v>315.55568022007242</v>
      </c>
      <c r="EE13" s="6">
        <f t="shared" si="40"/>
        <v>312.40012341787167</v>
      </c>
      <c r="EF13" s="6">
        <f t="shared" si="40"/>
        <v>309.27612218369296</v>
      </c>
      <c r="EG13" s="6">
        <f t="shared" si="40"/>
        <v>306.18336096185601</v>
      </c>
      <c r="EH13" s="6">
        <f t="shared" si="40"/>
        <v>303.12152735223742</v>
      </c>
      <c r="EI13" s="6">
        <f t="shared" si="40"/>
        <v>300.09031207871504</v>
      </c>
      <c r="EJ13" s="6">
        <f t="shared" si="40"/>
        <v>297.0894089579279</v>
      </c>
      <c r="EK13" s="6">
        <f t="shared" si="40"/>
        <v>294.1185148683486</v>
      </c>
      <c r="EL13" s="6">
        <f t="shared" si="40"/>
        <v>291.17732971966512</v>
      </c>
      <c r="EM13" s="6">
        <f t="shared" si="40"/>
        <v>288.26555642246848</v>
      </c>
    </row>
    <row r="14" spans="1:143" x14ac:dyDescent="0.3">
      <c r="B14" t="s">
        <v>1</v>
      </c>
      <c r="G14" s="2">
        <v>58.1</v>
      </c>
      <c r="H14" s="2">
        <v>58.5</v>
      </c>
      <c r="I14" s="2">
        <v>58.9</v>
      </c>
      <c r="J14" s="2">
        <v>61</v>
      </c>
      <c r="K14" s="2">
        <v>70.2</v>
      </c>
      <c r="L14" s="2">
        <v>164.4</v>
      </c>
      <c r="M14" s="2">
        <v>169.2</v>
      </c>
      <c r="N14" s="2">
        <f>125.5+55.4</f>
        <v>180.9</v>
      </c>
      <c r="O14" s="2">
        <f>129.5+55</f>
        <v>184.5</v>
      </c>
      <c r="P14" s="2">
        <f>129.5+55</f>
        <v>184.5</v>
      </c>
      <c r="Q14" s="2">
        <f>129.5+55</f>
        <v>184.5</v>
      </c>
      <c r="R14" s="2">
        <f>129.5+55</f>
        <v>184.5</v>
      </c>
      <c r="T14" s="2">
        <v>164</v>
      </c>
      <c r="U14" s="2">
        <v>164</v>
      </c>
      <c r="V14" s="2">
        <v>164</v>
      </c>
      <c r="W14" s="2">
        <f>129.5+55</f>
        <v>184.5</v>
      </c>
      <c r="X14" s="2">
        <f>129.5+55</f>
        <v>184.5</v>
      </c>
      <c r="Y14" s="2">
        <f>129.5+55</f>
        <v>184.5</v>
      </c>
      <c r="Z14" s="2">
        <f>129.5+55</f>
        <v>184.5</v>
      </c>
      <c r="AA14" s="2">
        <f>129.5+55</f>
        <v>184.5</v>
      </c>
      <c r="AB14" s="2">
        <f>129.5+55</f>
        <v>184.5</v>
      </c>
      <c r="AC14" s="2">
        <f>129.5+55</f>
        <v>184.5</v>
      </c>
      <c r="AD14" s="2">
        <f>129.5+55</f>
        <v>184.5</v>
      </c>
      <c r="AE14" s="2">
        <f>129.5+55</f>
        <v>184.5</v>
      </c>
      <c r="AF14" s="2">
        <f>129.5+55</f>
        <v>184.5</v>
      </c>
      <c r="AG14" s="2">
        <f>129.5+55</f>
        <v>184.5</v>
      </c>
    </row>
    <row r="15" spans="1:143" x14ac:dyDescent="0.3">
      <c r="B15" t="s">
        <v>21</v>
      </c>
      <c r="G15" s="5">
        <f>G13/G14</f>
        <v>-1.0499139414802068</v>
      </c>
      <c r="H15" s="5">
        <f t="shared" ref="H15" si="41">H13/H14</f>
        <v>-0.70085470085470147</v>
      </c>
      <c r="I15" s="5">
        <f t="shared" ref="I15" si="42">I13/I14</f>
        <v>-0.12563667232597614</v>
      </c>
      <c r="J15" s="5">
        <f t="shared" ref="J15" si="43">J13/J14</f>
        <v>0.30655737704918024</v>
      </c>
      <c r="K15" s="5">
        <f>K13/K14</f>
        <v>-8.1908831908831914</v>
      </c>
      <c r="L15" s="5">
        <f t="shared" ref="L15:N15" si="44">L13/L14</f>
        <v>-6.2043795620438102E-2</v>
      </c>
      <c r="M15" s="5">
        <f t="shared" si="44"/>
        <v>0.1767139479905436</v>
      </c>
      <c r="N15" s="5">
        <f t="shared" si="44"/>
        <v>0.39303482587064642</v>
      </c>
      <c r="O15" s="5">
        <f t="shared" ref="O15:R15" si="45">O13/O14</f>
        <v>0.14146341463414622</v>
      </c>
      <c r="P15" s="5">
        <f t="shared" si="45"/>
        <v>0.20376260162601581</v>
      </c>
      <c r="Q15" s="5">
        <f t="shared" si="45"/>
        <v>0.2762818428184281</v>
      </c>
      <c r="R15" s="5">
        <f t="shared" si="45"/>
        <v>0.4435024390243904</v>
      </c>
      <c r="T15" s="5">
        <f>T13/T14</f>
        <v>-0.96707317073170629</v>
      </c>
      <c r="U15" s="5">
        <f>U13/U14</f>
        <v>-0.5542682926829271</v>
      </c>
      <c r="V15" s="5">
        <f>V13/V14</f>
        <v>-2.9524390243902445</v>
      </c>
      <c r="W15" s="5">
        <f t="shared" ref="W15" si="46">W13/W14</f>
        <v>1.0650102981029796</v>
      </c>
      <c r="X15" s="5">
        <f t="shared" ref="X15" si="47">X13/X14</f>
        <v>1.841938445528454</v>
      </c>
      <c r="Y15" s="5">
        <f t="shared" ref="Y15" si="48">Y13/Y14</f>
        <v>2.4982150190569077</v>
      </c>
      <c r="Z15" s="5">
        <f t="shared" ref="Z15" si="49">Z13/Z14</f>
        <v>3.1459371078783738</v>
      </c>
      <c r="AA15" s="5">
        <f t="shared" ref="AA15" si="50">AA13/AA14</f>
        <v>3.5962760035878434</v>
      </c>
      <c r="AB15" s="5">
        <f t="shared" ref="AB15" si="51">AB13/AB14</f>
        <v>3.9020845850533075</v>
      </c>
      <c r="AC15" s="5">
        <f t="shared" ref="AC15" si="52">AC13/AC14</f>
        <v>4.1308435275244824</v>
      </c>
      <c r="AD15" s="5">
        <f t="shared" ref="AD15" si="53">AD13/AD14</f>
        <v>4.2711383118828747</v>
      </c>
      <c r="AE15" s="5">
        <f t="shared" ref="AE15" si="54">AE13/AE14</f>
        <v>4.4159693293426718</v>
      </c>
      <c r="AF15" s="5">
        <f t="shared" ref="AF15" si="55">AF13/AF14</f>
        <v>4.5654792146883292</v>
      </c>
      <c r="AG15" s="5">
        <f t="shared" ref="AG15" si="56">AG13/AG14</f>
        <v>4.7198150127036644</v>
      </c>
    </row>
    <row r="17" spans="2:36" x14ac:dyDescent="0.3">
      <c r="B17" t="s">
        <v>34</v>
      </c>
      <c r="G17" s="8"/>
      <c r="H17" s="8"/>
      <c r="I17" s="8"/>
      <c r="J17" s="8"/>
      <c r="K17" s="8">
        <f>K3/G3-1</f>
        <v>0.48442272449602952</v>
      </c>
      <c r="L17" s="8">
        <f t="shared" ref="L17:N17" si="57">L3/H3-1</f>
        <v>0.53661202185792334</v>
      </c>
      <c r="M17" s="8">
        <f t="shared" si="57"/>
        <v>0.67903614457831307</v>
      </c>
      <c r="N17" s="8">
        <f t="shared" si="57"/>
        <v>0.71216973578863074</v>
      </c>
      <c r="O17" s="8">
        <f t="shared" ref="O17" si="58">O3/K3-1</f>
        <v>0.6148148148148147</v>
      </c>
      <c r="P17" s="8">
        <f t="shared" ref="P17" si="59">P3/L3-1</f>
        <v>0.44999999999999996</v>
      </c>
      <c r="Q17" s="8">
        <f t="shared" ref="Q17" si="60">Q3/M3-1</f>
        <v>0.25</v>
      </c>
      <c r="R17" s="8">
        <f t="shared" ref="R17" si="61">R3/N3-1</f>
        <v>0.19999999999999996</v>
      </c>
      <c r="T17" s="8"/>
      <c r="U17" s="8">
        <f>U3/T3-1</f>
        <v>0.2059397030148491</v>
      </c>
      <c r="V17" s="8">
        <f t="shared" ref="V17:AG17" si="62">V3/U3-1</f>
        <v>0.61728855721393039</v>
      </c>
      <c r="W17" s="8">
        <f t="shared" si="62"/>
        <v>0.34498192724755827</v>
      </c>
      <c r="X17" s="8">
        <f t="shared" si="62"/>
        <v>0.16999999999999993</v>
      </c>
      <c r="Y17" s="8">
        <f t="shared" si="62"/>
        <v>0.12999999999999989</v>
      </c>
      <c r="Z17" s="8">
        <f t="shared" si="62"/>
        <v>0.1100000000000001</v>
      </c>
      <c r="AA17" s="8">
        <f t="shared" si="62"/>
        <v>7.0000000000000062E-2</v>
      </c>
      <c r="AB17" s="8">
        <f t="shared" si="62"/>
        <v>5.0000000000000044E-2</v>
      </c>
      <c r="AC17" s="8">
        <f t="shared" si="62"/>
        <v>4.0000000000000036E-2</v>
      </c>
      <c r="AD17" s="8">
        <f t="shared" si="62"/>
        <v>3.0000000000000027E-2</v>
      </c>
      <c r="AE17" s="8">
        <f t="shared" si="62"/>
        <v>3.0000000000000027E-2</v>
      </c>
      <c r="AF17" s="8">
        <f t="shared" si="62"/>
        <v>3.0000000000000027E-2</v>
      </c>
      <c r="AG17" s="8">
        <f t="shared" si="62"/>
        <v>3.0000000000000027E-2</v>
      </c>
    </row>
    <row r="18" spans="2:36" x14ac:dyDescent="0.3">
      <c r="B18" t="s">
        <v>35</v>
      </c>
      <c r="G18" s="8">
        <f t="shared" ref="G18:J18" si="63">G5/G3</f>
        <v>0.83567501527183863</v>
      </c>
      <c r="H18" s="8">
        <f t="shared" si="63"/>
        <v>0.84262295081967209</v>
      </c>
      <c r="I18" s="8">
        <f t="shared" si="63"/>
        <v>0.8727710843373494</v>
      </c>
      <c r="J18" s="8">
        <f t="shared" si="63"/>
        <v>0.88430744595676536</v>
      </c>
      <c r="K18" s="8">
        <f>K5/K3</f>
        <v>0.88641975308641974</v>
      </c>
      <c r="L18" s="8">
        <f t="shared" ref="L18:N18" si="64">L5/L3</f>
        <v>0.89509246088193462</v>
      </c>
      <c r="M18" s="8">
        <f t="shared" si="64"/>
        <v>0.90068886337543042</v>
      </c>
      <c r="N18" s="8">
        <f t="shared" si="64"/>
        <v>0.92564881926584053</v>
      </c>
      <c r="O18" s="8">
        <f t="shared" ref="O18:R18" si="65">O5/O3</f>
        <v>0.90545361875637098</v>
      </c>
      <c r="P18" s="8">
        <f t="shared" si="65"/>
        <v>0.91</v>
      </c>
      <c r="Q18" s="8">
        <f t="shared" si="65"/>
        <v>0.91</v>
      </c>
      <c r="R18" s="8">
        <f t="shared" si="65"/>
        <v>0.92</v>
      </c>
      <c r="T18" s="8">
        <f>T5/T3</f>
        <v>0.84280785960701976</v>
      </c>
      <c r="U18" s="8">
        <f>U5/U3</f>
        <v>0.86194029850746268</v>
      </c>
      <c r="V18" s="8">
        <f t="shared" ref="V18:AG18" si="66">V5/V3</f>
        <v>0.90502191801891874</v>
      </c>
      <c r="W18" s="8">
        <f t="shared" si="66"/>
        <v>0.91191459677050457</v>
      </c>
      <c r="X18" s="8">
        <f t="shared" si="66"/>
        <v>0.92</v>
      </c>
      <c r="Y18" s="8">
        <f t="shared" si="66"/>
        <v>0.92</v>
      </c>
      <c r="Z18" s="8">
        <f t="shared" si="66"/>
        <v>0.92</v>
      </c>
      <c r="AA18" s="8">
        <f t="shared" si="66"/>
        <v>0.92</v>
      </c>
      <c r="AB18" s="8">
        <f t="shared" si="66"/>
        <v>0.91999999999999993</v>
      </c>
      <c r="AC18" s="8">
        <f t="shared" si="66"/>
        <v>0.92</v>
      </c>
      <c r="AD18" s="8">
        <f t="shared" si="66"/>
        <v>0.92</v>
      </c>
      <c r="AE18" s="8">
        <f t="shared" si="66"/>
        <v>0.92</v>
      </c>
      <c r="AF18" s="8">
        <f t="shared" si="66"/>
        <v>0.92</v>
      </c>
      <c r="AG18" s="8">
        <f t="shared" si="66"/>
        <v>0.92</v>
      </c>
      <c r="AI18" t="s">
        <v>41</v>
      </c>
      <c r="AJ18" s="8">
        <v>-0.01</v>
      </c>
    </row>
    <row r="19" spans="2:36" x14ac:dyDescent="0.3">
      <c r="B19" t="s">
        <v>36</v>
      </c>
      <c r="G19" s="8"/>
      <c r="H19" s="8"/>
      <c r="I19" s="8"/>
      <c r="J19" s="8"/>
      <c r="K19" s="8">
        <f>K6/G6-1</f>
        <v>3.0165441176470589</v>
      </c>
      <c r="L19" s="8">
        <f t="shared" ref="L19:N19" si="67">L6/H6-1</f>
        <v>0.30173199635369197</v>
      </c>
      <c r="M19" s="8">
        <f t="shared" si="67"/>
        <v>0.53924284395198518</v>
      </c>
      <c r="N19" s="8">
        <f t="shared" si="67"/>
        <v>0.68996415770609332</v>
      </c>
      <c r="O19" s="8">
        <f t="shared" ref="O19" si="68">O6/K6-1</f>
        <v>-0.56224256292906172</v>
      </c>
      <c r="P19" s="8">
        <f t="shared" ref="P19" si="69">P6/L6-1</f>
        <v>0.30000000000000004</v>
      </c>
      <c r="Q19" s="8">
        <f t="shared" ref="Q19" si="70">Q6/M6-1</f>
        <v>0.19999999999999996</v>
      </c>
      <c r="R19" s="8">
        <f t="shared" ref="R19" si="71">R6/N6-1</f>
        <v>0.19999999999999996</v>
      </c>
      <c r="T19" s="8"/>
      <c r="U19" s="8">
        <f>U6/T6-1</f>
        <v>0.20016429353778764</v>
      </c>
      <c r="V19" s="8">
        <f t="shared" ref="V19:AG19" si="72">V6/U6-1</f>
        <v>1.1334702258726899</v>
      </c>
      <c r="W19" s="8">
        <f t="shared" si="72"/>
        <v>-0.14094749224681857</v>
      </c>
      <c r="X19" s="8">
        <f t="shared" si="72"/>
        <v>5.0000000000000044E-2</v>
      </c>
      <c r="Y19" s="8">
        <f t="shared" si="72"/>
        <v>5.0000000000000044E-2</v>
      </c>
      <c r="Z19" s="8">
        <f t="shared" si="72"/>
        <v>4.0000000000000036E-2</v>
      </c>
      <c r="AA19" s="8">
        <f t="shared" si="72"/>
        <v>3.0000000000000027E-2</v>
      </c>
      <c r="AB19" s="8">
        <f t="shared" si="72"/>
        <v>3.0000000000000027E-2</v>
      </c>
      <c r="AC19" s="8">
        <f t="shared" si="72"/>
        <v>3.0000000000000027E-2</v>
      </c>
      <c r="AD19" s="8">
        <f t="shared" si="72"/>
        <v>3.0000000000000027E-2</v>
      </c>
      <c r="AE19" s="8">
        <f t="shared" si="72"/>
        <v>3.0000000000000027E-2</v>
      </c>
      <c r="AF19" s="8">
        <f t="shared" si="72"/>
        <v>3.0000000000000027E-2</v>
      </c>
      <c r="AG19" s="8">
        <f t="shared" si="72"/>
        <v>3.0000000000000027E-2</v>
      </c>
      <c r="AI19" t="s">
        <v>42</v>
      </c>
      <c r="AJ19" s="8">
        <v>0.08</v>
      </c>
    </row>
    <row r="20" spans="2:36" x14ac:dyDescent="0.3">
      <c r="B20" t="s">
        <v>37</v>
      </c>
      <c r="G20" s="8">
        <f t="shared" ref="G20:J20" si="73">G7/G3</f>
        <v>0.3536957849725107</v>
      </c>
      <c r="H20" s="8">
        <f t="shared" si="73"/>
        <v>0.32349726775956283</v>
      </c>
      <c r="I20" s="8">
        <f t="shared" si="73"/>
        <v>0.26554216867469882</v>
      </c>
      <c r="J20" s="8">
        <f t="shared" si="73"/>
        <v>0.23178542834267413</v>
      </c>
      <c r="K20" s="8">
        <f>K7/K3</f>
        <v>0.51069958847736618</v>
      </c>
      <c r="L20" s="8">
        <f t="shared" ref="L20:N20" si="74">L7/L3</f>
        <v>0.25426742532005692</v>
      </c>
      <c r="M20" s="8">
        <f t="shared" si="74"/>
        <v>0.21383467278989668</v>
      </c>
      <c r="N20" s="8">
        <f t="shared" si="74"/>
        <v>0.18821603927986907</v>
      </c>
      <c r="O20" s="8">
        <f t="shared" ref="O20:R20" si="75">O7/O3</f>
        <v>0.2311416921508665</v>
      </c>
      <c r="P20" s="8">
        <f t="shared" si="75"/>
        <v>0.23</v>
      </c>
      <c r="Q20" s="8">
        <f t="shared" si="75"/>
        <v>0.21</v>
      </c>
      <c r="R20" s="8">
        <f t="shared" si="75"/>
        <v>0.19</v>
      </c>
      <c r="T20" s="8">
        <f>T7/T3</f>
        <v>0.33763311834408277</v>
      </c>
      <c r="U20" s="8">
        <f>U7/U3</f>
        <v>0.28631840796019897</v>
      </c>
      <c r="V20" s="8">
        <f t="shared" ref="V20:AG20" si="76">V7/V3</f>
        <v>0.26963008536491584</v>
      </c>
      <c r="W20" s="8">
        <f t="shared" si="76"/>
        <v>0.2135371209002333</v>
      </c>
      <c r="X20" s="8">
        <f t="shared" si="76"/>
        <v>0.2</v>
      </c>
      <c r="Y20" s="8">
        <f t="shared" si="76"/>
        <v>0.2</v>
      </c>
      <c r="Z20" s="8">
        <f t="shared" si="76"/>
        <v>0.2</v>
      </c>
      <c r="AA20" s="8">
        <f t="shared" si="76"/>
        <v>0.2</v>
      </c>
      <c r="AB20" s="8">
        <f t="shared" si="76"/>
        <v>0.2</v>
      </c>
      <c r="AC20" s="8">
        <f t="shared" si="76"/>
        <v>0.19999999999999998</v>
      </c>
      <c r="AD20" s="8">
        <f t="shared" si="76"/>
        <v>0.20000000000000004</v>
      </c>
      <c r="AE20" s="8">
        <f t="shared" si="76"/>
        <v>0.2</v>
      </c>
      <c r="AF20" s="8">
        <f t="shared" si="76"/>
        <v>0.2</v>
      </c>
      <c r="AG20" s="8">
        <f t="shared" si="76"/>
        <v>0.2</v>
      </c>
      <c r="AI20" t="s">
        <v>66</v>
      </c>
      <c r="AJ20" s="2">
        <f>NPV(AJ19,W13:EM13)</f>
        <v>8320.6591379964448</v>
      </c>
    </row>
    <row r="21" spans="2:36" x14ac:dyDescent="0.3">
      <c r="B21" t="s">
        <v>38</v>
      </c>
      <c r="G21" s="8"/>
      <c r="H21" s="8"/>
      <c r="I21" s="8"/>
      <c r="J21" s="8"/>
      <c r="K21" s="8">
        <f t="shared" ref="K21" si="77">K8/G8-1</f>
        <v>4.9681372549019613</v>
      </c>
      <c r="L21" s="8">
        <f t="shared" ref="L21" si="78">L8/H8-1</f>
        <v>0.79319371727748678</v>
      </c>
      <c r="M21" s="8">
        <f t="shared" ref="M21" si="79">M8/I8-1</f>
        <v>0.76139410187667589</v>
      </c>
      <c r="N21" s="8">
        <f t="shared" ref="N21" si="80">N8/J8-1</f>
        <v>0.52795031055900621</v>
      </c>
      <c r="O21" s="8">
        <f t="shared" ref="O21" si="81">O8/K8-1</f>
        <v>-0.71498973305954827</v>
      </c>
      <c r="P21" s="8">
        <f t="shared" ref="P21" si="82">P8/L8-1</f>
        <v>0.10000000000000009</v>
      </c>
      <c r="Q21" s="8">
        <f t="shared" ref="Q21" si="83">Q8/M8-1</f>
        <v>0.17999999999999994</v>
      </c>
      <c r="R21" s="8">
        <f t="shared" ref="R21" si="84">R8/N8-1</f>
        <v>0.1399999999999999</v>
      </c>
      <c r="T21" s="8"/>
      <c r="U21" s="8">
        <f>U8/T8-1</f>
        <v>0.14534075104311528</v>
      </c>
      <c r="V21" s="8">
        <f t="shared" ref="V21:AG21" si="85">V8/U8-1</f>
        <v>1.7413479052823315</v>
      </c>
      <c r="W21" s="8">
        <f t="shared" si="85"/>
        <v>-0.32135548172757467</v>
      </c>
      <c r="X21" s="8">
        <f t="shared" si="85"/>
        <v>3.0000000000000027E-2</v>
      </c>
      <c r="Y21" s="8">
        <f t="shared" si="85"/>
        <v>3.0000000000000027E-2</v>
      </c>
      <c r="Z21" s="8">
        <f t="shared" si="85"/>
        <v>3.0000000000000027E-2</v>
      </c>
      <c r="AA21" s="8">
        <f t="shared" si="85"/>
        <v>2.0000000000000018E-2</v>
      </c>
      <c r="AB21" s="8">
        <f t="shared" si="85"/>
        <v>2.0000000000000018E-2</v>
      </c>
      <c r="AC21" s="8">
        <f t="shared" si="85"/>
        <v>2.0000000000000018E-2</v>
      </c>
      <c r="AD21" s="8">
        <f t="shared" si="85"/>
        <v>2.0000000000000018E-2</v>
      </c>
      <c r="AE21" s="8">
        <f t="shared" si="85"/>
        <v>2.0000000000000018E-2</v>
      </c>
      <c r="AF21" s="8">
        <f t="shared" si="85"/>
        <v>2.0000000000000018E-2</v>
      </c>
      <c r="AG21" s="8">
        <f t="shared" si="85"/>
        <v>2.0000000000000018E-2</v>
      </c>
      <c r="AI21" t="s">
        <v>43</v>
      </c>
      <c r="AJ21" s="2">
        <f>Main!D8</f>
        <v>1951.1000000000001</v>
      </c>
    </row>
    <row r="22" spans="2:36" x14ac:dyDescent="0.3">
      <c r="B22" t="s">
        <v>39</v>
      </c>
      <c r="G22" s="8">
        <f t="shared" ref="G22:J22" si="86">G9/G3</f>
        <v>-0.43188759926695186</v>
      </c>
      <c r="H22" s="8">
        <f t="shared" si="86"/>
        <v>-0.28907103825136632</v>
      </c>
      <c r="I22" s="8">
        <f t="shared" si="86"/>
        <v>-9.4457831325301181E-2</v>
      </c>
      <c r="J22" s="8">
        <f t="shared" si="86"/>
        <v>1.2409927942353859E-2</v>
      </c>
      <c r="K22" s="8">
        <f>K9/K3</f>
        <v>-2.4246913580246914</v>
      </c>
      <c r="L22" s="8">
        <f t="shared" ref="L22:N22" si="87">L9/L3</f>
        <v>-0.11059743954480805</v>
      </c>
      <c r="M22" s="8">
        <f t="shared" si="87"/>
        <v>1.9804822043627948E-2</v>
      </c>
      <c r="N22" s="8">
        <f t="shared" si="87"/>
        <v>0.12391863455693231</v>
      </c>
      <c r="O22" s="8">
        <f t="shared" ref="O22:R22" si="88">O9/O3</f>
        <v>9.9388379204892394E-3</v>
      </c>
      <c r="P22" s="8">
        <f t="shared" si="88"/>
        <v>3.9910727424338842E-2</v>
      </c>
      <c r="Q22" s="8">
        <f t="shared" si="88"/>
        <v>6.264982778415612E-2</v>
      </c>
      <c r="R22" s="8">
        <f t="shared" si="88"/>
        <v>0.12511339724105686</v>
      </c>
      <c r="T22" s="8">
        <f>T9/T3</f>
        <v>-0.25828708564571745</v>
      </c>
      <c r="U22" s="8">
        <f>U9/U3</f>
        <v>-0.17437810945273638</v>
      </c>
      <c r="V22" s="8">
        <f t="shared" ref="V22:AG22" si="89">V9/V3</f>
        <v>-0.43097746673844506</v>
      </c>
      <c r="W22" s="8">
        <f t="shared" si="89"/>
        <v>6.3852522757421745E-2</v>
      </c>
      <c r="X22" s="8">
        <f t="shared" si="89"/>
        <v>0.15354944233906762</v>
      </c>
      <c r="Y22" s="8">
        <f t="shared" si="89"/>
        <v>0.19638201321223919</v>
      </c>
      <c r="Z22" s="8">
        <f t="shared" si="89"/>
        <v>0.230669531667891</v>
      </c>
      <c r="AA22" s="8">
        <f t="shared" si="89"/>
        <v>0.25018147559050991</v>
      </c>
      <c r="AB22" s="8">
        <f t="shared" si="89"/>
        <v>0.26031478125277885</v>
      </c>
      <c r="AC22" s="8">
        <f t="shared" si="89"/>
        <v>0.2658964362556932</v>
      </c>
      <c r="AD22" s="8">
        <f t="shared" si="89"/>
        <v>0.26704676336162103</v>
      </c>
      <c r="AE22" s="8">
        <f t="shared" si="89"/>
        <v>0.26818592224321952</v>
      </c>
      <c r="AF22" s="8">
        <f t="shared" si="89"/>
        <v>0.26931402132985094</v>
      </c>
      <c r="AG22" s="8">
        <f t="shared" si="89"/>
        <v>0.27043116799816558</v>
      </c>
      <c r="AI22" t="s">
        <v>44</v>
      </c>
      <c r="AJ22" s="2">
        <f>AJ20+AJ21</f>
        <v>10271.759137996445</v>
      </c>
    </row>
    <row r="23" spans="2:36" x14ac:dyDescent="0.3">
      <c r="B23" t="s">
        <v>19</v>
      </c>
      <c r="G23" s="8">
        <f t="shared" ref="G23:J23" si="90">G12/G11</f>
        <v>-1.6666666666666663E-2</v>
      </c>
      <c r="H23" s="8">
        <f t="shared" si="90"/>
        <v>-3.5353535353535318E-2</v>
      </c>
      <c r="I23" s="8">
        <f t="shared" si="90"/>
        <v>-5.714285714285719E-2</v>
      </c>
      <c r="J23" s="8">
        <f t="shared" si="90"/>
        <v>4.5918367346938792E-2</v>
      </c>
      <c r="K23" s="8">
        <f>K12/K11</f>
        <v>-6.9613644274277764E-4</v>
      </c>
      <c r="L23" s="8">
        <f t="shared" ref="L23:N23" si="91">L12/L11</f>
        <v>1.923076923076919E-2</v>
      </c>
      <c r="M23" s="8">
        <f t="shared" si="91"/>
        <v>0</v>
      </c>
      <c r="N23" s="8">
        <f t="shared" si="91"/>
        <v>-1.4265335235378044E-2</v>
      </c>
      <c r="O23" s="8">
        <f t="shared" ref="O23:R23" si="92">O12/O11</f>
        <v>-6.9672131147541047E-2</v>
      </c>
      <c r="P23" s="8">
        <f t="shared" si="92"/>
        <v>0</v>
      </c>
      <c r="Q23" s="8">
        <f t="shared" si="92"/>
        <v>0</v>
      </c>
      <c r="R23" s="8">
        <f t="shared" si="92"/>
        <v>0</v>
      </c>
      <c r="T23" s="8">
        <f>T12/T11</f>
        <v>-3.7974683544303835E-3</v>
      </c>
      <c r="U23" s="8">
        <f>U12/U11</f>
        <v>-4.362801377726748E-2</v>
      </c>
      <c r="V23" s="8">
        <f t="shared" ref="V23:AG23" si="93">V12/V11</f>
        <v>1.6494845360824739E-3</v>
      </c>
      <c r="W23" s="8">
        <f t="shared" si="93"/>
        <v>-8.7271502671534811E-3</v>
      </c>
      <c r="X23" s="8">
        <f t="shared" si="93"/>
        <v>0.15</v>
      </c>
      <c r="Y23" s="8">
        <f t="shared" si="93"/>
        <v>0.15</v>
      </c>
      <c r="Z23" s="8">
        <f t="shared" si="93"/>
        <v>0.15</v>
      </c>
      <c r="AA23" s="8">
        <f t="shared" si="93"/>
        <v>0.15</v>
      </c>
      <c r="AB23" s="8">
        <f t="shared" si="93"/>
        <v>0.15</v>
      </c>
      <c r="AC23" s="8">
        <f t="shared" si="93"/>
        <v>0.15</v>
      </c>
      <c r="AD23" s="8">
        <f t="shared" si="93"/>
        <v>0.15</v>
      </c>
      <c r="AE23" s="8">
        <f t="shared" si="93"/>
        <v>0.15</v>
      </c>
      <c r="AF23" s="8">
        <f t="shared" si="93"/>
        <v>0.15</v>
      </c>
      <c r="AG23" s="8">
        <f t="shared" si="93"/>
        <v>0.15</v>
      </c>
      <c r="AI23" t="s">
        <v>45</v>
      </c>
      <c r="AJ23" s="1">
        <f>AJ22/AG14</f>
        <v>55.673491262853361</v>
      </c>
    </row>
    <row r="24" spans="2:36" x14ac:dyDescent="0.3">
      <c r="B24" t="s">
        <v>40</v>
      </c>
      <c r="G24" s="8">
        <f t="shared" ref="G24:J24" si="94">G13/G3</f>
        <v>-0.37263286499694576</v>
      </c>
      <c r="H24" s="8">
        <f t="shared" si="94"/>
        <v>-0.22404371584699473</v>
      </c>
      <c r="I24" s="8">
        <f t="shared" si="94"/>
        <v>-3.5662650602409612E-2</v>
      </c>
      <c r="J24" s="8">
        <f t="shared" si="94"/>
        <v>7.4859887910328243E-2</v>
      </c>
      <c r="K24" s="8">
        <f>K13/K3</f>
        <v>-2.3662551440329218</v>
      </c>
      <c r="L24" s="8">
        <f t="shared" ref="L24:N24" si="95">L13/L3</f>
        <v>-3.627311522048373E-2</v>
      </c>
      <c r="M24" s="8">
        <f t="shared" si="95"/>
        <v>8.5820895522388002E-2</v>
      </c>
      <c r="N24" s="8">
        <f t="shared" si="95"/>
        <v>0.16623801730184695</v>
      </c>
      <c r="O24" s="8">
        <f t="shared" ref="O24:R24" si="96">O13/O3</f>
        <v>6.6513761467889856E-2</v>
      </c>
      <c r="P24" s="8">
        <f t="shared" si="96"/>
        <v>9.2201402854760195E-2</v>
      </c>
      <c r="Q24" s="8">
        <f t="shared" si="96"/>
        <v>0.11704707233065439</v>
      </c>
      <c r="R24" s="8">
        <f t="shared" si="96"/>
        <v>0.15943067570727151</v>
      </c>
      <c r="T24" s="8">
        <f>T13/T3</f>
        <v>-0.23788810559471998</v>
      </c>
      <c r="U24" s="8">
        <f>U13/U3</f>
        <v>-0.11305970149253737</v>
      </c>
      <c r="V24" s="8">
        <f t="shared" ref="V24:AG24" si="97">V13/V3</f>
        <v>-0.3723756056294702</v>
      </c>
      <c r="W24" s="8">
        <f t="shared" si="97"/>
        <v>0.11235442111522788</v>
      </c>
      <c r="X24" s="8">
        <f t="shared" si="97"/>
        <v>0.16608316414080093</v>
      </c>
      <c r="Y24" s="8">
        <f t="shared" si="97"/>
        <v>0.19934340352878502</v>
      </c>
      <c r="Z24" s="8">
        <f t="shared" si="97"/>
        <v>0.22615131188827772</v>
      </c>
      <c r="AA24" s="8">
        <f t="shared" si="97"/>
        <v>0.24161189562547311</v>
      </c>
      <c r="AB24" s="8">
        <f t="shared" si="97"/>
        <v>0.24967363131700099</v>
      </c>
      <c r="AC24" s="8">
        <f t="shared" si="97"/>
        <v>0.2541449028074384</v>
      </c>
      <c r="AD24" s="8">
        <f t="shared" si="97"/>
        <v>0.25512268084747708</v>
      </c>
      <c r="AE24" s="8">
        <f t="shared" si="97"/>
        <v>0.25609096589683572</v>
      </c>
      <c r="AF24" s="8">
        <f t="shared" si="97"/>
        <v>0.25704985012047243</v>
      </c>
      <c r="AG24" s="8">
        <f t="shared" si="97"/>
        <v>0.25799942478853993</v>
      </c>
      <c r="AI24" t="s">
        <v>46</v>
      </c>
      <c r="AJ24" s="1">
        <f>Main!D3</f>
        <v>96.02</v>
      </c>
    </row>
    <row r="25" spans="2:36" x14ac:dyDescent="0.3">
      <c r="AI25" s="6" t="s">
        <v>47</v>
      </c>
      <c r="AJ25" s="9">
        <f>AJ23/AJ24-1</f>
        <v>-0.4201885933883216</v>
      </c>
    </row>
    <row r="26" spans="2:36" x14ac:dyDescent="0.3">
      <c r="AI26" t="s">
        <v>48</v>
      </c>
      <c r="AJ26" s="4" t="s">
        <v>67</v>
      </c>
    </row>
    <row r="27" spans="2:36" s="6" customFormat="1" x14ac:dyDescent="0.3">
      <c r="B27" s="6" t="s">
        <v>49</v>
      </c>
      <c r="T27" s="7">
        <f>T13</f>
        <v>-158.59999999999982</v>
      </c>
      <c r="U27" s="7">
        <f>U13</f>
        <v>-90.900000000000048</v>
      </c>
      <c r="V27" s="7">
        <f>V13</f>
        <v>-484.2000000000001</v>
      </c>
      <c r="W27" s="7">
        <f t="shared" ref="W27:AG27" si="98">W13</f>
        <v>196.49439999999973</v>
      </c>
      <c r="X27" s="7">
        <f t="shared" si="98"/>
        <v>339.83764319999977</v>
      </c>
      <c r="Y27" s="7">
        <f t="shared" si="98"/>
        <v>460.92067101599946</v>
      </c>
      <c r="Z27" s="7">
        <f t="shared" si="98"/>
        <v>580.42539640355994</v>
      </c>
      <c r="AA27" s="7">
        <f t="shared" si="98"/>
        <v>663.51292266195708</v>
      </c>
      <c r="AB27" s="7">
        <f t="shared" si="98"/>
        <v>719.93460594233522</v>
      </c>
      <c r="AC27" s="7">
        <f t="shared" si="98"/>
        <v>762.14063082826704</v>
      </c>
      <c r="AD27" s="7">
        <f t="shared" si="98"/>
        <v>788.0250185423904</v>
      </c>
      <c r="AE27" s="7">
        <f t="shared" si="98"/>
        <v>814.74634126372302</v>
      </c>
      <c r="AF27" s="7">
        <f t="shared" si="98"/>
        <v>842.33091510999668</v>
      </c>
      <c r="AG27" s="7">
        <f t="shared" si="98"/>
        <v>870.80586984382603</v>
      </c>
    </row>
    <row r="28" spans="2:36" x14ac:dyDescent="0.3">
      <c r="B28" t="s">
        <v>50</v>
      </c>
      <c r="T28" s="2">
        <v>8</v>
      </c>
      <c r="U28" s="2">
        <v>13.7</v>
      </c>
      <c r="V28" s="2">
        <v>15.6</v>
      </c>
      <c r="W28">
        <f>V28*1.2</f>
        <v>18.72</v>
      </c>
      <c r="X28">
        <f t="shared" ref="X28:Z28" si="99">W28*1.2</f>
        <v>22.463999999999999</v>
      </c>
      <c r="Y28">
        <f t="shared" si="99"/>
        <v>26.956799999999998</v>
      </c>
      <c r="Z28">
        <f t="shared" si="99"/>
        <v>32.348159999999993</v>
      </c>
      <c r="AA28">
        <f>Z28*1.05</f>
        <v>33.965567999999998</v>
      </c>
      <c r="AB28">
        <f t="shared" ref="AB28:AG28" si="100">AA28*1.05</f>
        <v>35.663846399999997</v>
      </c>
      <c r="AC28">
        <f t="shared" si="100"/>
        <v>37.447038720000002</v>
      </c>
      <c r="AD28">
        <f t="shared" si="100"/>
        <v>39.319390656000003</v>
      </c>
      <c r="AE28">
        <f t="shared" si="100"/>
        <v>41.285360188800006</v>
      </c>
      <c r="AF28">
        <f t="shared" si="100"/>
        <v>43.349628198240005</v>
      </c>
      <c r="AG28">
        <f t="shared" si="100"/>
        <v>45.517109608152005</v>
      </c>
    </row>
    <row r="29" spans="2:36" x14ac:dyDescent="0.3">
      <c r="B29" t="s">
        <v>51</v>
      </c>
      <c r="T29" s="2">
        <v>10.5</v>
      </c>
      <c r="U29" s="2">
        <v>11.4</v>
      </c>
      <c r="V29" s="2">
        <v>4.0999999999999996</v>
      </c>
      <c r="W29" s="2">
        <v>10</v>
      </c>
      <c r="X29" s="2">
        <v>10</v>
      </c>
      <c r="Y29" s="2">
        <v>10</v>
      </c>
      <c r="Z29" s="2">
        <v>10</v>
      </c>
      <c r="AA29" s="2">
        <v>10</v>
      </c>
      <c r="AB29" s="2">
        <v>10</v>
      </c>
      <c r="AC29" s="2">
        <v>10</v>
      </c>
      <c r="AD29" s="2">
        <v>10</v>
      </c>
      <c r="AE29" s="2">
        <v>10</v>
      </c>
      <c r="AF29" s="2">
        <v>10</v>
      </c>
      <c r="AG29" s="2">
        <v>10</v>
      </c>
    </row>
    <row r="30" spans="2:36" x14ac:dyDescent="0.3">
      <c r="B30" t="s">
        <v>52</v>
      </c>
      <c r="T30" s="2">
        <v>-3.3</v>
      </c>
      <c r="U30" s="2">
        <v>-27.4</v>
      </c>
      <c r="V30" s="2">
        <v>-43.4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</row>
    <row r="31" spans="2:36" x14ac:dyDescent="0.3">
      <c r="B31" t="s">
        <v>53</v>
      </c>
      <c r="T31" s="2">
        <v>55.3</v>
      </c>
      <c r="U31" s="2">
        <v>47.6</v>
      </c>
      <c r="V31" s="2">
        <v>801.6</v>
      </c>
      <c r="W31">
        <f>V31*0.4</f>
        <v>320.64000000000004</v>
      </c>
      <c r="X31">
        <f>W31*0.7</f>
        <v>224.44800000000001</v>
      </c>
      <c r="Y31">
        <f t="shared" ref="Y31" si="101">X31*0.7</f>
        <v>157.11359999999999</v>
      </c>
      <c r="Z31">
        <f>Y31*0.95</f>
        <v>149.25791999999998</v>
      </c>
      <c r="AA31">
        <f t="shared" ref="AA31:AG31" si="102">Z31*0.95</f>
        <v>141.79502399999998</v>
      </c>
      <c r="AB31">
        <f t="shared" si="102"/>
        <v>134.70527279999999</v>
      </c>
      <c r="AC31">
        <f t="shared" si="102"/>
        <v>127.97000915999999</v>
      </c>
      <c r="AD31">
        <f t="shared" si="102"/>
        <v>121.57150870199999</v>
      </c>
      <c r="AE31">
        <f t="shared" si="102"/>
        <v>115.49293326689998</v>
      </c>
      <c r="AF31">
        <f t="shared" si="102"/>
        <v>109.71828660355497</v>
      </c>
      <c r="AG31">
        <f t="shared" si="102"/>
        <v>104.23237227337722</v>
      </c>
    </row>
    <row r="32" spans="2:36" x14ac:dyDescent="0.3">
      <c r="B32" t="s">
        <v>54</v>
      </c>
      <c r="T32" s="2">
        <v>4.0999999999999996</v>
      </c>
      <c r="U32" s="2">
        <v>0.5</v>
      </c>
      <c r="V32" s="2">
        <v>-4.2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</row>
    <row r="33" spans="2:144" x14ac:dyDescent="0.3">
      <c r="B33" t="s">
        <v>55</v>
      </c>
      <c r="T33" s="2">
        <v>-30.2</v>
      </c>
      <c r="U33" s="2">
        <v>-53.3</v>
      </c>
      <c r="V33" s="2">
        <v>-104.3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</row>
    <row r="34" spans="2:144" x14ac:dyDescent="0.3">
      <c r="B34" t="s">
        <v>56</v>
      </c>
      <c r="T34" s="2">
        <v>-1.9</v>
      </c>
      <c r="U34" s="2">
        <v>3.9</v>
      </c>
      <c r="V34" s="2">
        <v>-19.5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</row>
    <row r="35" spans="2:144" x14ac:dyDescent="0.3">
      <c r="B35" t="s">
        <v>51</v>
      </c>
      <c r="T35" s="2">
        <v>-10.3</v>
      </c>
      <c r="U35" s="2">
        <v>-5.8</v>
      </c>
      <c r="V35" s="2">
        <v>-2.4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</row>
    <row r="36" spans="2:144" x14ac:dyDescent="0.3">
      <c r="B36" t="s">
        <v>57</v>
      </c>
      <c r="T36" s="2">
        <v>10.9</v>
      </c>
      <c r="U36" s="2">
        <v>12.5</v>
      </c>
      <c r="V36" s="2">
        <v>-0.6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</row>
    <row r="37" spans="2:144" x14ac:dyDescent="0.3">
      <c r="B37" t="s">
        <v>58</v>
      </c>
      <c r="T37" s="2">
        <v>21.5</v>
      </c>
      <c r="U37" s="2">
        <v>12.7</v>
      </c>
      <c r="V37" s="2">
        <v>59.3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</row>
    <row r="38" spans="2:144" s="6" customFormat="1" x14ac:dyDescent="0.3">
      <c r="B38" s="6" t="s">
        <v>59</v>
      </c>
      <c r="T38" s="7">
        <f>T27+SUM(T28:T37)</f>
        <v>-93.999999999999829</v>
      </c>
      <c r="U38" s="7">
        <f>U27+SUM(U28:U37)</f>
        <v>-75.100000000000037</v>
      </c>
      <c r="V38" s="7">
        <f>V27+SUM(V28:V37)</f>
        <v>221.99999999999983</v>
      </c>
      <c r="W38" s="7">
        <f t="shared" ref="W38" si="103">W27+SUM(W28:W37)</f>
        <v>545.85439999999971</v>
      </c>
      <c r="X38" s="7">
        <f t="shared" ref="X38" si="104">X27+SUM(X28:X37)</f>
        <v>596.74964319999981</v>
      </c>
      <c r="Y38" s="7">
        <f t="shared" ref="Y38" si="105">Y27+SUM(Y28:Y37)</f>
        <v>654.99107101599952</v>
      </c>
      <c r="Z38" s="7">
        <f t="shared" ref="Z38" si="106">Z27+SUM(Z28:Z37)</f>
        <v>772.03147640355996</v>
      </c>
      <c r="AA38" s="7">
        <f t="shared" ref="AA38" si="107">AA27+SUM(AA28:AA37)</f>
        <v>849.27351466195705</v>
      </c>
      <c r="AB38" s="7">
        <f t="shared" ref="AB38" si="108">AB27+SUM(AB28:AB37)</f>
        <v>900.30372514233522</v>
      </c>
      <c r="AC38" s="7">
        <f t="shared" ref="AC38" si="109">AC27+SUM(AC28:AC37)</f>
        <v>937.55767870826708</v>
      </c>
      <c r="AD38" s="7">
        <f t="shared" ref="AD38" si="110">AD27+SUM(AD28:AD37)</f>
        <v>958.91591790039035</v>
      </c>
      <c r="AE38" s="7">
        <f t="shared" ref="AE38" si="111">AE27+SUM(AE28:AE37)</f>
        <v>981.52463471942303</v>
      </c>
      <c r="AF38" s="7">
        <f t="shared" ref="AF38" si="112">AF27+SUM(AF28:AF37)</f>
        <v>1005.3988299117916</v>
      </c>
      <c r="AG38" s="7">
        <f t="shared" ref="AG38" si="113">AG27+SUM(AG28:AG37)</f>
        <v>1030.5553517253552</v>
      </c>
    </row>
    <row r="39" spans="2:144" x14ac:dyDescent="0.3">
      <c r="B39" t="s">
        <v>60</v>
      </c>
      <c r="T39" s="2">
        <v>6.2</v>
      </c>
      <c r="U39" s="2">
        <v>9.6999999999999993</v>
      </c>
      <c r="V39" s="2">
        <v>6.2</v>
      </c>
      <c r="W39" s="2">
        <v>6.2</v>
      </c>
      <c r="X39" s="2">
        <v>6.2</v>
      </c>
      <c r="Y39" s="2">
        <v>6.2</v>
      </c>
      <c r="Z39" s="2">
        <v>6.2</v>
      </c>
      <c r="AA39" s="2">
        <v>6.2</v>
      </c>
      <c r="AB39" s="2">
        <v>6.2</v>
      </c>
      <c r="AC39" s="2">
        <v>6.2</v>
      </c>
      <c r="AD39" s="2">
        <v>6.2</v>
      </c>
      <c r="AE39" s="2">
        <v>6.2</v>
      </c>
      <c r="AF39" s="2">
        <v>6.2</v>
      </c>
      <c r="AG39" s="2">
        <v>6.2</v>
      </c>
    </row>
    <row r="40" spans="2:144" s="6" customFormat="1" x14ac:dyDescent="0.3">
      <c r="B40" s="6" t="s">
        <v>61</v>
      </c>
      <c r="T40" s="7">
        <f>T38-T39</f>
        <v>-100.19999999999983</v>
      </c>
      <c r="U40" s="7">
        <f>U38-U39</f>
        <v>-84.80000000000004</v>
      </c>
      <c r="V40" s="7">
        <f>V38-V39</f>
        <v>215.79999999999984</v>
      </c>
      <c r="W40" s="7">
        <f t="shared" ref="W40" si="114">W38-W39</f>
        <v>539.65439999999967</v>
      </c>
      <c r="X40" s="7">
        <f t="shared" ref="X40" si="115">X38-X39</f>
        <v>590.54964319999976</v>
      </c>
      <c r="Y40" s="7">
        <f t="shared" ref="Y40" si="116">Y38-Y39</f>
        <v>648.79107101599948</v>
      </c>
      <c r="Z40" s="7">
        <f t="shared" ref="Z40" si="117">Z38-Z39</f>
        <v>765.83147640355992</v>
      </c>
      <c r="AA40" s="7">
        <f t="shared" ref="AA40" si="118">AA38-AA39</f>
        <v>843.07351466195701</v>
      </c>
      <c r="AB40" s="7">
        <f t="shared" ref="AB40" si="119">AB38-AB39</f>
        <v>894.10372514233518</v>
      </c>
      <c r="AC40" s="7">
        <f t="shared" ref="AC40" si="120">AC38-AC39</f>
        <v>931.35767870826703</v>
      </c>
      <c r="AD40" s="7">
        <f t="shared" ref="AD40" si="121">AD38-AD39</f>
        <v>952.71591790039031</v>
      </c>
      <c r="AE40" s="7">
        <f t="shared" ref="AE40" si="122">AE38-AE39</f>
        <v>975.32463471942299</v>
      </c>
      <c r="AF40" s="7">
        <f t="shared" ref="AF40" si="123">AF38-AF39</f>
        <v>999.19882991179156</v>
      </c>
      <c r="AG40" s="7">
        <f t="shared" ref="AG40" si="124">AG38-AG39</f>
        <v>1024.3553517253551</v>
      </c>
      <c r="AH40" s="6">
        <f>AG40*(1+$AJ$18)</f>
        <v>1014.1117982081016</v>
      </c>
      <c r="AI40" s="6">
        <f t="shared" ref="AI40:CT40" si="125">AH40*(1+$AJ$18)</f>
        <v>1003.9706802260206</v>
      </c>
      <c r="AJ40" s="6">
        <f t="shared" si="125"/>
        <v>993.93097342376041</v>
      </c>
      <c r="AK40" s="6">
        <f t="shared" si="125"/>
        <v>983.99166368952274</v>
      </c>
      <c r="AL40" s="6">
        <f t="shared" si="125"/>
        <v>974.15174705262746</v>
      </c>
      <c r="AM40" s="6">
        <f t="shared" si="125"/>
        <v>964.41022958210112</v>
      </c>
      <c r="AN40" s="6">
        <f t="shared" si="125"/>
        <v>954.76612728628015</v>
      </c>
      <c r="AO40" s="6">
        <f t="shared" si="125"/>
        <v>945.21846601341736</v>
      </c>
      <c r="AP40" s="6">
        <f t="shared" si="125"/>
        <v>935.76628135328315</v>
      </c>
      <c r="AQ40" s="6">
        <f t="shared" si="125"/>
        <v>926.40861853975036</v>
      </c>
      <c r="AR40" s="6">
        <f t="shared" si="125"/>
        <v>917.1445323543528</v>
      </c>
      <c r="AS40" s="6">
        <f t="shared" si="125"/>
        <v>907.97308703080932</v>
      </c>
      <c r="AT40" s="6">
        <f t="shared" si="125"/>
        <v>898.89335616050118</v>
      </c>
      <c r="AU40" s="6">
        <f t="shared" si="125"/>
        <v>889.90442259889619</v>
      </c>
      <c r="AV40" s="6">
        <f t="shared" si="125"/>
        <v>881.00537837290722</v>
      </c>
      <c r="AW40" s="6">
        <f t="shared" si="125"/>
        <v>872.19532458917809</v>
      </c>
      <c r="AX40" s="6">
        <f t="shared" si="125"/>
        <v>863.47337134328632</v>
      </c>
      <c r="AY40" s="6">
        <f t="shared" si="125"/>
        <v>854.83863762985345</v>
      </c>
      <c r="AZ40" s="6">
        <f t="shared" si="125"/>
        <v>846.29025125355486</v>
      </c>
      <c r="BA40" s="6">
        <f t="shared" si="125"/>
        <v>837.82734874101925</v>
      </c>
      <c r="BB40" s="6">
        <f t="shared" si="125"/>
        <v>829.44907525360907</v>
      </c>
      <c r="BC40" s="6">
        <f t="shared" si="125"/>
        <v>821.15458450107292</v>
      </c>
      <c r="BD40" s="6">
        <f t="shared" si="125"/>
        <v>812.94303865606219</v>
      </c>
      <c r="BE40" s="6">
        <f t="shared" si="125"/>
        <v>804.81360826950151</v>
      </c>
      <c r="BF40" s="6">
        <f t="shared" si="125"/>
        <v>796.76547218680651</v>
      </c>
      <c r="BG40" s="6">
        <f t="shared" si="125"/>
        <v>788.79781746493848</v>
      </c>
      <c r="BH40" s="6">
        <f t="shared" si="125"/>
        <v>780.90983929028903</v>
      </c>
      <c r="BI40" s="6">
        <f t="shared" si="125"/>
        <v>773.10074089738612</v>
      </c>
      <c r="BJ40" s="6">
        <f t="shared" si="125"/>
        <v>765.36973348841229</v>
      </c>
      <c r="BK40" s="6">
        <f t="shared" si="125"/>
        <v>757.71603615352819</v>
      </c>
      <c r="BL40" s="6">
        <f t="shared" si="125"/>
        <v>750.13887579199286</v>
      </c>
      <c r="BM40" s="6">
        <f t="shared" si="125"/>
        <v>742.63748703407293</v>
      </c>
      <c r="BN40" s="6">
        <f t="shared" si="125"/>
        <v>735.2111121637322</v>
      </c>
      <c r="BO40" s="6">
        <f t="shared" si="125"/>
        <v>727.85900104209486</v>
      </c>
      <c r="BP40" s="6">
        <f t="shared" si="125"/>
        <v>720.58041103167386</v>
      </c>
      <c r="BQ40" s="6">
        <f t="shared" si="125"/>
        <v>713.3746069213571</v>
      </c>
      <c r="BR40" s="6">
        <f t="shared" si="125"/>
        <v>706.24086085214356</v>
      </c>
      <c r="BS40" s="6">
        <f t="shared" si="125"/>
        <v>699.17845224362213</v>
      </c>
      <c r="BT40" s="6">
        <f t="shared" si="125"/>
        <v>692.18666772118593</v>
      </c>
      <c r="BU40" s="6">
        <f t="shared" si="125"/>
        <v>685.2648010439741</v>
      </c>
      <c r="BV40" s="6">
        <f t="shared" si="125"/>
        <v>678.41215303353431</v>
      </c>
      <c r="BW40" s="6">
        <f t="shared" si="125"/>
        <v>671.62803150319894</v>
      </c>
      <c r="BX40" s="6">
        <f t="shared" si="125"/>
        <v>664.91175118816693</v>
      </c>
      <c r="BY40" s="6">
        <f t="shared" si="125"/>
        <v>658.2626336762853</v>
      </c>
      <c r="BZ40" s="6">
        <f t="shared" si="125"/>
        <v>651.68000733952249</v>
      </c>
      <c r="CA40" s="6">
        <f t="shared" si="125"/>
        <v>645.1632072661273</v>
      </c>
      <c r="CB40" s="6">
        <f t="shared" si="125"/>
        <v>638.71157519346605</v>
      </c>
      <c r="CC40" s="6">
        <f t="shared" si="125"/>
        <v>632.32445944153142</v>
      </c>
      <c r="CD40" s="6">
        <f t="shared" si="125"/>
        <v>626.0012148471161</v>
      </c>
      <c r="CE40" s="6">
        <f t="shared" si="125"/>
        <v>619.74120269864488</v>
      </c>
      <c r="CF40" s="6">
        <f t="shared" si="125"/>
        <v>613.54379067165848</v>
      </c>
      <c r="CG40" s="6">
        <f t="shared" si="125"/>
        <v>607.40835276494192</v>
      </c>
      <c r="CH40" s="6">
        <f t="shared" si="125"/>
        <v>601.33426923729246</v>
      </c>
      <c r="CI40" s="6">
        <f t="shared" si="125"/>
        <v>595.32092654491953</v>
      </c>
      <c r="CJ40" s="6">
        <f t="shared" si="125"/>
        <v>589.3677172794703</v>
      </c>
      <c r="CK40" s="6">
        <f t="shared" si="125"/>
        <v>583.4740401066756</v>
      </c>
      <c r="CL40" s="6">
        <f t="shared" si="125"/>
        <v>577.63929970560889</v>
      </c>
      <c r="CM40" s="6">
        <f t="shared" si="125"/>
        <v>571.86290670855283</v>
      </c>
      <c r="CN40" s="6">
        <f t="shared" si="125"/>
        <v>566.14427764146728</v>
      </c>
      <c r="CO40" s="6">
        <f t="shared" si="125"/>
        <v>560.48283486505261</v>
      </c>
      <c r="CP40" s="6">
        <f t="shared" si="125"/>
        <v>554.87800651640202</v>
      </c>
      <c r="CQ40" s="6">
        <f t="shared" si="125"/>
        <v>549.32922645123801</v>
      </c>
      <c r="CR40" s="6">
        <f t="shared" si="125"/>
        <v>543.83593418672558</v>
      </c>
      <c r="CS40" s="6">
        <f t="shared" si="125"/>
        <v>538.39757484485835</v>
      </c>
      <c r="CT40" s="6">
        <f t="shared" si="125"/>
        <v>533.01359909640973</v>
      </c>
      <c r="CU40" s="6">
        <f t="shared" ref="CU40:EN40" si="126">CT40*(1+$AJ$18)</f>
        <v>527.68346310544564</v>
      </c>
      <c r="CV40" s="6">
        <f t="shared" si="126"/>
        <v>522.40662847439114</v>
      </c>
      <c r="CW40" s="6">
        <f t="shared" si="126"/>
        <v>517.18256218964723</v>
      </c>
      <c r="CX40" s="6">
        <f t="shared" si="126"/>
        <v>512.01073656775077</v>
      </c>
      <c r="CY40" s="6">
        <f t="shared" si="126"/>
        <v>506.89062920207323</v>
      </c>
      <c r="CZ40" s="6">
        <f t="shared" si="126"/>
        <v>501.82172291005247</v>
      </c>
      <c r="DA40" s="6">
        <f t="shared" si="126"/>
        <v>496.80350568095196</v>
      </c>
      <c r="DB40" s="6">
        <f t="shared" si="126"/>
        <v>491.83547062414243</v>
      </c>
      <c r="DC40" s="6">
        <f t="shared" si="126"/>
        <v>486.91711591790101</v>
      </c>
      <c r="DD40" s="6">
        <f t="shared" si="126"/>
        <v>482.047944758722</v>
      </c>
      <c r="DE40" s="6">
        <f t="shared" si="126"/>
        <v>477.22746531113478</v>
      </c>
      <c r="DF40" s="6">
        <f t="shared" si="126"/>
        <v>472.45519065802341</v>
      </c>
      <c r="DG40" s="6">
        <f t="shared" si="126"/>
        <v>467.73063875144317</v>
      </c>
      <c r="DH40" s="6">
        <f t="shared" si="126"/>
        <v>463.05333236392875</v>
      </c>
      <c r="DI40" s="6">
        <f t="shared" si="126"/>
        <v>458.42279904028948</v>
      </c>
      <c r="DJ40" s="6">
        <f t="shared" si="126"/>
        <v>453.83857104988658</v>
      </c>
      <c r="DK40" s="6">
        <f t="shared" si="126"/>
        <v>449.30018533938772</v>
      </c>
      <c r="DL40" s="6">
        <f t="shared" si="126"/>
        <v>444.80718348599385</v>
      </c>
      <c r="DM40" s="6">
        <f t="shared" si="126"/>
        <v>440.3591116511339</v>
      </c>
      <c r="DN40" s="6">
        <f t="shared" si="126"/>
        <v>435.95552053462256</v>
      </c>
      <c r="DO40" s="6">
        <f t="shared" si="126"/>
        <v>431.59596532927634</v>
      </c>
      <c r="DP40" s="6">
        <f t="shared" si="126"/>
        <v>427.28000567598355</v>
      </c>
      <c r="DQ40" s="6">
        <f t="shared" si="126"/>
        <v>423.00720561922373</v>
      </c>
      <c r="DR40" s="6">
        <f t="shared" si="126"/>
        <v>418.7771335630315</v>
      </c>
      <c r="DS40" s="6">
        <f t="shared" si="126"/>
        <v>414.58936222740118</v>
      </c>
      <c r="DT40" s="6">
        <f t="shared" si="126"/>
        <v>410.44346860512718</v>
      </c>
      <c r="DU40" s="6">
        <f t="shared" si="126"/>
        <v>406.33903391907592</v>
      </c>
      <c r="DV40" s="6">
        <f t="shared" si="126"/>
        <v>402.27564357988513</v>
      </c>
      <c r="DW40" s="6">
        <f t="shared" si="126"/>
        <v>398.25288714408629</v>
      </c>
      <c r="DX40" s="6">
        <f t="shared" si="126"/>
        <v>394.27035827264541</v>
      </c>
      <c r="DY40" s="6">
        <f t="shared" si="126"/>
        <v>390.32765468991897</v>
      </c>
      <c r="DZ40" s="6">
        <f t="shared" si="126"/>
        <v>386.42437814301979</v>
      </c>
      <c r="EA40" s="6">
        <f t="shared" si="126"/>
        <v>382.56013436158958</v>
      </c>
      <c r="EB40" s="6">
        <f t="shared" si="126"/>
        <v>378.73453301797366</v>
      </c>
      <c r="EC40" s="6">
        <f t="shared" si="126"/>
        <v>374.94718768779393</v>
      </c>
      <c r="ED40" s="6">
        <f t="shared" si="126"/>
        <v>371.19771581091601</v>
      </c>
      <c r="EE40" s="6">
        <f t="shared" si="126"/>
        <v>367.48573865280684</v>
      </c>
      <c r="EF40" s="6">
        <f t="shared" si="126"/>
        <v>363.81088126627878</v>
      </c>
      <c r="EG40" s="6">
        <f t="shared" si="126"/>
        <v>360.17277245361601</v>
      </c>
      <c r="EH40" s="6">
        <f t="shared" si="126"/>
        <v>356.57104472907986</v>
      </c>
      <c r="EI40" s="6">
        <f t="shared" si="126"/>
        <v>353.00533428178903</v>
      </c>
      <c r="EJ40" s="6">
        <f t="shared" si="126"/>
        <v>349.47528093897114</v>
      </c>
      <c r="EK40" s="6">
        <f t="shared" si="126"/>
        <v>345.98052812958144</v>
      </c>
      <c r="EL40" s="6">
        <f t="shared" si="126"/>
        <v>342.52072284828563</v>
      </c>
      <c r="EM40" s="6">
        <f t="shared" si="126"/>
        <v>339.09551561980277</v>
      </c>
      <c r="EN40" s="6">
        <f t="shared" si="126"/>
        <v>335.70456046360476</v>
      </c>
    </row>
    <row r="43" spans="2:144" x14ac:dyDescent="0.3">
      <c r="AJ43" s="10">
        <f>NPV(AJ19,W40:EN40)</f>
        <v>10501.661284077858</v>
      </c>
    </row>
    <row r="44" spans="2:144" x14ac:dyDescent="0.3">
      <c r="AJ44" s="2">
        <f>Main!D8</f>
        <v>1951.1000000000001</v>
      </c>
    </row>
    <row r="45" spans="2:144" x14ac:dyDescent="0.3">
      <c r="AJ45" s="10">
        <f>AJ43+AJ44</f>
        <v>12452.761284077858</v>
      </c>
    </row>
    <row r="46" spans="2:144" x14ac:dyDescent="0.3">
      <c r="AJ46" s="1">
        <f>AJ45/AG14</f>
        <v>67.49464110611305</v>
      </c>
    </row>
    <row r="47" spans="2:144" x14ac:dyDescent="0.3">
      <c r="AJ47" s="1">
        <f>Main!D3</f>
        <v>96.02</v>
      </c>
    </row>
    <row r="48" spans="2:144" x14ac:dyDescent="0.3">
      <c r="AJ48" s="9">
        <f>AJ46/AJ47-1</f>
        <v>-0.29707726404797907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2024-07-31T11:02:31Z</dcterms:created>
  <dcterms:modified xsi:type="dcterms:W3CDTF">2025-05-04T12:11:18Z</dcterms:modified>
</cp:coreProperties>
</file>