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648D3D4-D40F-4101-B28A-95D0CD4B655F}" xr6:coauthVersionLast="47" xr6:coauthVersionMax="47" xr10:uidLastSave="{00000000-0000-0000-0000-000000000000}"/>
  <bookViews>
    <workbookView xWindow="-108" yWindow="-108" windowWidth="23256" windowHeight="12576" activeTab="1" xr2:uid="{D7866C78-17E7-487E-8035-32073BE9C1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2" l="1"/>
  <c r="AR4" i="2"/>
  <c r="AH4" i="2"/>
  <c r="AH7" i="2" s="1"/>
  <c r="AG4" i="2"/>
  <c r="AF4" i="2"/>
  <c r="AF23" i="2" s="1"/>
  <c r="BA19" i="2"/>
  <c r="AZ19" i="2"/>
  <c r="AY19" i="2"/>
  <c r="AX19" i="2"/>
  <c r="AW19" i="2"/>
  <c r="AV19" i="2"/>
  <c r="AU19" i="2"/>
  <c r="AT19" i="2"/>
  <c r="AS19" i="2"/>
  <c r="AR19" i="2"/>
  <c r="AQ19" i="2"/>
  <c r="AH19" i="2"/>
  <c r="AG19" i="2"/>
  <c r="AF19" i="2"/>
  <c r="AE19" i="2"/>
  <c r="D6" i="1"/>
  <c r="D4" i="1"/>
  <c r="AQ15" i="2"/>
  <c r="AQ12" i="2"/>
  <c r="AQ10" i="2"/>
  <c r="AQ3" i="2"/>
  <c r="AG10" i="2"/>
  <c r="AG29" i="2" s="1"/>
  <c r="AF10" i="2"/>
  <c r="AH15" i="2"/>
  <c r="AG15" i="2"/>
  <c r="AF15" i="2"/>
  <c r="AH12" i="2"/>
  <c r="AH31" i="2" s="1"/>
  <c r="AG12" i="2"/>
  <c r="AG31" i="2" s="1"/>
  <c r="AF12" i="2"/>
  <c r="AE31" i="2"/>
  <c r="AH10" i="2"/>
  <c r="AH29" i="2" s="1"/>
  <c r="AE29" i="2"/>
  <c r="AH6" i="2"/>
  <c r="AH25" i="2" s="1"/>
  <c r="AH3" i="2"/>
  <c r="AG3" i="2"/>
  <c r="AG6" i="2" s="1"/>
  <c r="AF3" i="2"/>
  <c r="AF22" i="2" s="1"/>
  <c r="AF31" i="2"/>
  <c r="AF29" i="2"/>
  <c r="AE26" i="2"/>
  <c r="AE22" i="2"/>
  <c r="AP19" i="2"/>
  <c r="AD19" i="2"/>
  <c r="AB23" i="2"/>
  <c r="AC25" i="2"/>
  <c r="AC31" i="2"/>
  <c r="AD22" i="2"/>
  <c r="AC22" i="2"/>
  <c r="AD31" i="2"/>
  <c r="AB31" i="2"/>
  <c r="AC29" i="2"/>
  <c r="AB29" i="2"/>
  <c r="AC23" i="2"/>
  <c r="AO17" i="2"/>
  <c r="AO12" i="2"/>
  <c r="AO11" i="2"/>
  <c r="AO10" i="2"/>
  <c r="AO7" i="2"/>
  <c r="AO6" i="2"/>
  <c r="AO4" i="2"/>
  <c r="AO3" i="2"/>
  <c r="AN17" i="2"/>
  <c r="AN12" i="2"/>
  <c r="AN11" i="2"/>
  <c r="AN10" i="2"/>
  <c r="AN7" i="2"/>
  <c r="AN6" i="2"/>
  <c r="AN4" i="2"/>
  <c r="AN3" i="2"/>
  <c r="AA31" i="2"/>
  <c r="Z31" i="2"/>
  <c r="Y31" i="2"/>
  <c r="X31" i="2"/>
  <c r="W31" i="2"/>
  <c r="V31" i="2"/>
  <c r="U31" i="2"/>
  <c r="T31" i="2"/>
  <c r="S31" i="2"/>
  <c r="AA29" i="2"/>
  <c r="Z29" i="2"/>
  <c r="Y29" i="2"/>
  <c r="X29" i="2"/>
  <c r="W29" i="2"/>
  <c r="V29" i="2"/>
  <c r="U29" i="2"/>
  <c r="T29" i="2"/>
  <c r="S29" i="2"/>
  <c r="AA26" i="2"/>
  <c r="Z26" i="2"/>
  <c r="Y26" i="2"/>
  <c r="X26" i="2"/>
  <c r="W26" i="2"/>
  <c r="V26" i="2"/>
  <c r="U26" i="2"/>
  <c r="T26" i="2"/>
  <c r="S26" i="2"/>
  <c r="AA25" i="2"/>
  <c r="Z25" i="2"/>
  <c r="Y25" i="2"/>
  <c r="X25" i="2"/>
  <c r="W25" i="2"/>
  <c r="V25" i="2"/>
  <c r="U25" i="2"/>
  <c r="T25" i="2"/>
  <c r="S25" i="2"/>
  <c r="AA23" i="2"/>
  <c r="Z23" i="2"/>
  <c r="Y23" i="2"/>
  <c r="X23" i="2"/>
  <c r="W23" i="2"/>
  <c r="V23" i="2"/>
  <c r="U23" i="2"/>
  <c r="T23" i="2"/>
  <c r="S23" i="2"/>
  <c r="AA22" i="2"/>
  <c r="Z22" i="2"/>
  <c r="Y22" i="2"/>
  <c r="X22" i="2"/>
  <c r="W22" i="2"/>
  <c r="V22" i="2"/>
  <c r="U22" i="2"/>
  <c r="T22" i="2"/>
  <c r="S22" i="2"/>
  <c r="P15" i="2"/>
  <c r="P13" i="2"/>
  <c r="P8" i="2"/>
  <c r="P5" i="2"/>
  <c r="Q15" i="2"/>
  <c r="Q13" i="2"/>
  <c r="Q8" i="2"/>
  <c r="Q5" i="2"/>
  <c r="R15" i="2"/>
  <c r="R13" i="2"/>
  <c r="R8" i="2"/>
  <c r="R5" i="2"/>
  <c r="S15" i="2"/>
  <c r="S13" i="2"/>
  <c r="S8" i="2"/>
  <c r="S5" i="2"/>
  <c r="S30" i="2" s="1"/>
  <c r="T15" i="2"/>
  <c r="T13" i="2"/>
  <c r="T8" i="2"/>
  <c r="T5" i="2"/>
  <c r="T30" i="2" s="1"/>
  <c r="X13" i="2"/>
  <c r="X8" i="2"/>
  <c r="X5" i="2"/>
  <c r="X30" i="2" s="1"/>
  <c r="U15" i="2"/>
  <c r="U13" i="2"/>
  <c r="U8" i="2"/>
  <c r="U5" i="2"/>
  <c r="Y13" i="2"/>
  <c r="Y8" i="2"/>
  <c r="Y5" i="2"/>
  <c r="Y30" i="2" s="1"/>
  <c r="V15" i="2"/>
  <c r="V13" i="2"/>
  <c r="V8" i="2"/>
  <c r="V5" i="2"/>
  <c r="Z13" i="2"/>
  <c r="Z8" i="2"/>
  <c r="Z5" i="2"/>
  <c r="Z30" i="2" s="1"/>
  <c r="W15" i="2"/>
  <c r="AO15" i="2" s="1"/>
  <c r="W13" i="2"/>
  <c r="W8" i="2"/>
  <c r="W5" i="2"/>
  <c r="AA13" i="2"/>
  <c r="AA8" i="2"/>
  <c r="AA5" i="2"/>
  <c r="AA30" i="2" s="1"/>
  <c r="R31" i="2"/>
  <c r="Q31" i="2"/>
  <c r="P31" i="2"/>
  <c r="O31" i="2"/>
  <c r="R29" i="2"/>
  <c r="Q29" i="2"/>
  <c r="O29" i="2"/>
  <c r="O25" i="2"/>
  <c r="O22" i="2"/>
  <c r="Q23" i="2"/>
  <c r="P23" i="2"/>
  <c r="R22" i="2"/>
  <c r="Q22" i="2"/>
  <c r="N31" i="2"/>
  <c r="M31" i="2"/>
  <c r="L31" i="2"/>
  <c r="K31" i="2"/>
  <c r="J31" i="2"/>
  <c r="I31" i="2"/>
  <c r="H31" i="2"/>
  <c r="G31" i="2"/>
  <c r="N29" i="2"/>
  <c r="M29" i="2"/>
  <c r="L29" i="2"/>
  <c r="K29" i="2"/>
  <c r="J29" i="2"/>
  <c r="I29" i="2"/>
  <c r="H29" i="2"/>
  <c r="G29" i="2"/>
  <c r="M15" i="2"/>
  <c r="N23" i="2"/>
  <c r="N25" i="2"/>
  <c r="BD31" i="2"/>
  <c r="AL10" i="2"/>
  <c r="AL4" i="2"/>
  <c r="AL3" i="2"/>
  <c r="AK17" i="2"/>
  <c r="AK12" i="2"/>
  <c r="AK11" i="2"/>
  <c r="AK10" i="2"/>
  <c r="AK7" i="2"/>
  <c r="AK6" i="2"/>
  <c r="AK4" i="2"/>
  <c r="AK3" i="2"/>
  <c r="AJ17" i="2"/>
  <c r="AJ12" i="2"/>
  <c r="AK31" i="2" s="1"/>
  <c r="AJ11" i="2"/>
  <c r="AJ10" i="2"/>
  <c r="AJ7" i="2"/>
  <c r="AJ6" i="2"/>
  <c r="AJ4" i="2"/>
  <c r="AJ3" i="2"/>
  <c r="AL12" i="2"/>
  <c r="M8" i="2"/>
  <c r="N26" i="2"/>
  <c r="M26" i="2"/>
  <c r="M25" i="2"/>
  <c r="L26" i="2"/>
  <c r="K26" i="2"/>
  <c r="J26" i="2"/>
  <c r="I26" i="2"/>
  <c r="H26" i="2"/>
  <c r="G26" i="2"/>
  <c r="F26" i="2"/>
  <c r="E26" i="2"/>
  <c r="D26" i="2"/>
  <c r="C26" i="2"/>
  <c r="L25" i="2"/>
  <c r="K25" i="2"/>
  <c r="J25" i="2"/>
  <c r="I25" i="2"/>
  <c r="H25" i="2"/>
  <c r="G25" i="2"/>
  <c r="F25" i="2"/>
  <c r="E25" i="2"/>
  <c r="D25" i="2"/>
  <c r="C25" i="2"/>
  <c r="N5" i="2"/>
  <c r="M5" i="2"/>
  <c r="M23" i="2"/>
  <c r="L23" i="2"/>
  <c r="K23" i="2"/>
  <c r="J23" i="2"/>
  <c r="I23" i="2"/>
  <c r="H23" i="2"/>
  <c r="G23" i="2"/>
  <c r="M22" i="2"/>
  <c r="L22" i="2"/>
  <c r="K22" i="2"/>
  <c r="J22" i="2"/>
  <c r="I22" i="2"/>
  <c r="H22" i="2"/>
  <c r="G22" i="2"/>
  <c r="C15" i="2"/>
  <c r="C13" i="2"/>
  <c r="C8" i="2"/>
  <c r="C5" i="2"/>
  <c r="C30" i="2" s="1"/>
  <c r="D15" i="2"/>
  <c r="D13" i="2"/>
  <c r="D8" i="2"/>
  <c r="D5" i="2"/>
  <c r="D30" i="2" s="1"/>
  <c r="E15" i="2"/>
  <c r="E13" i="2"/>
  <c r="E8" i="2"/>
  <c r="E5" i="2"/>
  <c r="E30" i="2" s="1"/>
  <c r="I15" i="2"/>
  <c r="I13" i="2"/>
  <c r="I8" i="2"/>
  <c r="I5" i="2"/>
  <c r="AQ4" i="2" l="1"/>
  <c r="AG23" i="2"/>
  <c r="AG7" i="2"/>
  <c r="AG26" i="2" s="1"/>
  <c r="AF7" i="2"/>
  <c r="AG22" i="2"/>
  <c r="AE23" i="2"/>
  <c r="AG25" i="2"/>
  <c r="AF5" i="2"/>
  <c r="AE5" i="2"/>
  <c r="AG5" i="2"/>
  <c r="AG11" i="2" s="1"/>
  <c r="AG30" i="2" s="1"/>
  <c r="AF6" i="2"/>
  <c r="AH5" i="2"/>
  <c r="AH8" i="2"/>
  <c r="AH23" i="2"/>
  <c r="AH26" i="2"/>
  <c r="AH22" i="2"/>
  <c r="U24" i="2"/>
  <c r="W24" i="2"/>
  <c r="AN15" i="2"/>
  <c r="X24" i="2"/>
  <c r="Y24" i="2"/>
  <c r="V24" i="2"/>
  <c r="AM15" i="2"/>
  <c r="U30" i="2"/>
  <c r="V30" i="2"/>
  <c r="Z24" i="2"/>
  <c r="W30" i="2"/>
  <c r="AA24" i="2"/>
  <c r="T24" i="2"/>
  <c r="AC5" i="2"/>
  <c r="AC24" i="2" s="1"/>
  <c r="AC26" i="2"/>
  <c r="AP4" i="2"/>
  <c r="AB8" i="2"/>
  <c r="AB5" i="2"/>
  <c r="AB13" i="2" s="1"/>
  <c r="AB22" i="2"/>
  <c r="AP15" i="2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AP10" i="2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AD29" i="2"/>
  <c r="AP12" i="2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AP6" i="2"/>
  <c r="AD8" i="2"/>
  <c r="AB25" i="2"/>
  <c r="AC8" i="2"/>
  <c r="AD26" i="2"/>
  <c r="AD23" i="2"/>
  <c r="AP3" i="2"/>
  <c r="AD25" i="2"/>
  <c r="AD5" i="2"/>
  <c r="P9" i="2"/>
  <c r="P14" i="2" s="1"/>
  <c r="P16" i="2" s="1"/>
  <c r="P18" i="2" s="1"/>
  <c r="P20" i="2" s="1"/>
  <c r="Q9" i="2"/>
  <c r="Q14" i="2" s="1"/>
  <c r="Q16" i="2" s="1"/>
  <c r="Q18" i="2" s="1"/>
  <c r="Q20" i="2" s="1"/>
  <c r="R9" i="2"/>
  <c r="R14" i="2" s="1"/>
  <c r="R16" i="2" s="1"/>
  <c r="R18" i="2" s="1"/>
  <c r="R20" i="2" s="1"/>
  <c r="S9" i="2"/>
  <c r="T9" i="2"/>
  <c r="X9" i="2"/>
  <c r="U9" i="2"/>
  <c r="Y9" i="2"/>
  <c r="V9" i="2"/>
  <c r="Z9" i="2"/>
  <c r="W9" i="2"/>
  <c r="AA9" i="2"/>
  <c r="P22" i="2"/>
  <c r="R25" i="2"/>
  <c r="AM3" i="2"/>
  <c r="Q24" i="2"/>
  <c r="Q26" i="2"/>
  <c r="P26" i="2"/>
  <c r="AM4" i="2"/>
  <c r="AM10" i="2"/>
  <c r="AM29" i="2" s="1"/>
  <c r="P29" i="2"/>
  <c r="R23" i="2"/>
  <c r="AM12" i="2"/>
  <c r="O26" i="2"/>
  <c r="O5" i="2"/>
  <c r="S24" i="2" s="1"/>
  <c r="O23" i="2"/>
  <c r="P25" i="2"/>
  <c r="AK29" i="2"/>
  <c r="AL29" i="2"/>
  <c r="AL31" i="2"/>
  <c r="I24" i="2"/>
  <c r="AJ25" i="2"/>
  <c r="AK25" i="2"/>
  <c r="AJ26" i="2"/>
  <c r="AK26" i="2"/>
  <c r="AJ8" i="2"/>
  <c r="I30" i="2"/>
  <c r="AL23" i="2"/>
  <c r="AJ13" i="2"/>
  <c r="AJ5" i="2"/>
  <c r="AJ30" i="2" s="1"/>
  <c r="AK22" i="2"/>
  <c r="AK23" i="2"/>
  <c r="M9" i="2"/>
  <c r="M27" i="2" s="1"/>
  <c r="N30" i="2"/>
  <c r="N8" i="2"/>
  <c r="N9" i="2" s="1"/>
  <c r="N27" i="2" s="1"/>
  <c r="AL7" i="2"/>
  <c r="AL26" i="2" s="1"/>
  <c r="M13" i="2"/>
  <c r="AL6" i="2"/>
  <c r="AL25" i="2" s="1"/>
  <c r="AL22" i="2"/>
  <c r="AL5" i="2"/>
  <c r="AK13" i="2"/>
  <c r="AK8" i="2"/>
  <c r="AK5" i="2"/>
  <c r="M24" i="2"/>
  <c r="M30" i="2"/>
  <c r="N22" i="2"/>
  <c r="C9" i="2"/>
  <c r="D9" i="2"/>
  <c r="E9" i="2"/>
  <c r="I9" i="2"/>
  <c r="F15" i="2"/>
  <c r="AJ15" i="2" s="1"/>
  <c r="F13" i="2"/>
  <c r="F8" i="2"/>
  <c r="F5" i="2"/>
  <c r="F30" i="2" s="1"/>
  <c r="J15" i="2"/>
  <c r="J13" i="2"/>
  <c r="J8" i="2"/>
  <c r="J5" i="2"/>
  <c r="N24" i="2" s="1"/>
  <c r="AR7" i="2" l="1"/>
  <c r="AQ7" i="2"/>
  <c r="AG13" i="2"/>
  <c r="AF26" i="2"/>
  <c r="AF8" i="2"/>
  <c r="AF9" i="2" s="1"/>
  <c r="AF27" i="2" s="1"/>
  <c r="AS7" i="2"/>
  <c r="AT4" i="2"/>
  <c r="AE25" i="2"/>
  <c r="AQ6" i="2"/>
  <c r="AG24" i="2"/>
  <c r="AE8" i="2"/>
  <c r="AE9" i="2" s="1"/>
  <c r="AE27" i="2" s="1"/>
  <c r="AF24" i="2"/>
  <c r="AF11" i="2"/>
  <c r="AG8" i="2"/>
  <c r="AG9" i="2" s="1"/>
  <c r="AH11" i="2"/>
  <c r="AH9" i="2"/>
  <c r="AE24" i="2"/>
  <c r="AQ11" i="2"/>
  <c r="AF25" i="2"/>
  <c r="AH24" i="2"/>
  <c r="X14" i="2"/>
  <c r="X27" i="2"/>
  <c r="U14" i="2"/>
  <c r="U27" i="2"/>
  <c r="T14" i="2"/>
  <c r="T27" i="2"/>
  <c r="S14" i="2"/>
  <c r="S27" i="2"/>
  <c r="W14" i="2"/>
  <c r="W27" i="2"/>
  <c r="Y14" i="2"/>
  <c r="Y27" i="2"/>
  <c r="Z14" i="2"/>
  <c r="Z16" i="2" s="1"/>
  <c r="Z27" i="2"/>
  <c r="V14" i="2"/>
  <c r="V27" i="2"/>
  <c r="AD13" i="2"/>
  <c r="AC9" i="2"/>
  <c r="AC27" i="2" s="1"/>
  <c r="AD9" i="2"/>
  <c r="AD27" i="2" s="1"/>
  <c r="AD24" i="2"/>
  <c r="AB26" i="2"/>
  <c r="AP7" i="2"/>
  <c r="AP8" i="2" s="1"/>
  <c r="AB24" i="2"/>
  <c r="AB30" i="2"/>
  <c r="AB9" i="2"/>
  <c r="AB14" i="2" s="1"/>
  <c r="AB16" i="2" s="1"/>
  <c r="AB18" i="2" s="1"/>
  <c r="AB20" i="2" s="1"/>
  <c r="AR3" i="2"/>
  <c r="AD30" i="2"/>
  <c r="AP11" i="2"/>
  <c r="AA14" i="2"/>
  <c r="AA27" i="2"/>
  <c r="AN29" i="2"/>
  <c r="AM6" i="2"/>
  <c r="AM25" i="2" s="1"/>
  <c r="Q25" i="2"/>
  <c r="AM22" i="2"/>
  <c r="AM5" i="2"/>
  <c r="AM24" i="2" s="1"/>
  <c r="R26" i="2"/>
  <c r="R24" i="2"/>
  <c r="AN31" i="2"/>
  <c r="AM31" i="2"/>
  <c r="O30" i="2"/>
  <c r="O8" i="2"/>
  <c r="O9" i="2" s="1"/>
  <c r="O27" i="2" s="1"/>
  <c r="AM7" i="2"/>
  <c r="AM26" i="2" s="1"/>
  <c r="P30" i="2"/>
  <c r="M14" i="2"/>
  <c r="M16" i="2" s="1"/>
  <c r="AJ9" i="2"/>
  <c r="AJ27" i="2" s="1"/>
  <c r="AK9" i="2"/>
  <c r="AK27" i="2" s="1"/>
  <c r="AK24" i="2"/>
  <c r="AK30" i="2"/>
  <c r="D14" i="2"/>
  <c r="D27" i="2"/>
  <c r="I14" i="2"/>
  <c r="I27" i="2"/>
  <c r="J30" i="2"/>
  <c r="J24" i="2"/>
  <c r="E14" i="2"/>
  <c r="E27" i="2"/>
  <c r="AL24" i="2"/>
  <c r="AM23" i="2"/>
  <c r="AN5" i="2"/>
  <c r="AL11" i="2"/>
  <c r="AL13" i="2" s="1"/>
  <c r="N13" i="2"/>
  <c r="N14" i="2" s="1"/>
  <c r="N16" i="2" s="1"/>
  <c r="N32" i="2" s="1"/>
  <c r="AN22" i="2"/>
  <c r="AL8" i="2"/>
  <c r="AL9" i="2" s="1"/>
  <c r="C14" i="2"/>
  <c r="C27" i="2"/>
  <c r="F9" i="2"/>
  <c r="J9" i="2"/>
  <c r="G15" i="2"/>
  <c r="G13" i="2"/>
  <c r="G8" i="2"/>
  <c r="G5" i="2"/>
  <c r="K15" i="2"/>
  <c r="K13" i="2"/>
  <c r="K8" i="2"/>
  <c r="K5" i="2"/>
  <c r="O24" i="2" s="1"/>
  <c r="H15" i="2"/>
  <c r="H13" i="2"/>
  <c r="H8" i="2"/>
  <c r="H5" i="2"/>
  <c r="L15" i="2"/>
  <c r="L13" i="2"/>
  <c r="L8" i="2"/>
  <c r="L5" i="2"/>
  <c r="P24" i="2" s="1"/>
  <c r="D8" i="1"/>
  <c r="BD28" i="2" s="1"/>
  <c r="D5" i="1"/>
  <c r="F3" i="1"/>
  <c r="AT7" i="2" l="1"/>
  <c r="AU4" i="2"/>
  <c r="AR6" i="2"/>
  <c r="AS3" i="2"/>
  <c r="AH27" i="2"/>
  <c r="AH13" i="2"/>
  <c r="AH14" i="2" s="1"/>
  <c r="AH30" i="2"/>
  <c r="AG14" i="2"/>
  <c r="AG27" i="2"/>
  <c r="AF13" i="2"/>
  <c r="AF14" i="2" s="1"/>
  <c r="AF30" i="2"/>
  <c r="AE13" i="2"/>
  <c r="AE14" i="2" s="1"/>
  <c r="AE30" i="2"/>
  <c r="Z28" i="2"/>
  <c r="V16" i="2"/>
  <c r="V28" i="2"/>
  <c r="S16" i="2"/>
  <c r="S28" i="2"/>
  <c r="T16" i="2"/>
  <c r="T28" i="2"/>
  <c r="Y16" i="2"/>
  <c r="Y28" i="2"/>
  <c r="U16" i="2"/>
  <c r="U28" i="2"/>
  <c r="W16" i="2"/>
  <c r="W28" i="2"/>
  <c r="X16" i="2"/>
  <c r="X28" i="2"/>
  <c r="AC13" i="2"/>
  <c r="AC14" i="2" s="1"/>
  <c r="AC16" i="2" s="1"/>
  <c r="AC30" i="2"/>
  <c r="AD14" i="2"/>
  <c r="AD16" i="2" s="1"/>
  <c r="AD32" i="2" s="1"/>
  <c r="AB28" i="2"/>
  <c r="AB27" i="2"/>
  <c r="AB32" i="2"/>
  <c r="AB33" i="2"/>
  <c r="Z18" i="2"/>
  <c r="Z32" i="2"/>
  <c r="AA16" i="2"/>
  <c r="AA28" i="2"/>
  <c r="Q30" i="2"/>
  <c r="P27" i="2"/>
  <c r="Q27" i="2"/>
  <c r="R30" i="2"/>
  <c r="R27" i="2"/>
  <c r="O13" i="2"/>
  <c r="O14" i="2" s="1"/>
  <c r="O16" i="2" s="1"/>
  <c r="AM11" i="2"/>
  <c r="AM30" i="2" s="1"/>
  <c r="D9" i="1"/>
  <c r="AK15" i="2"/>
  <c r="M28" i="2"/>
  <c r="AO31" i="2"/>
  <c r="AK14" i="2"/>
  <c r="AJ14" i="2"/>
  <c r="AJ16" i="2" s="1"/>
  <c r="H24" i="2"/>
  <c r="H30" i="2"/>
  <c r="I16" i="2"/>
  <c r="I28" i="2"/>
  <c r="AL15" i="2"/>
  <c r="E16" i="2"/>
  <c r="E28" i="2"/>
  <c r="G24" i="2"/>
  <c r="G30" i="2"/>
  <c r="L30" i="2"/>
  <c r="L24" i="2"/>
  <c r="K30" i="2"/>
  <c r="K24" i="2"/>
  <c r="J14" i="2"/>
  <c r="J27" i="2"/>
  <c r="F14" i="2"/>
  <c r="F27" i="2"/>
  <c r="D16" i="2"/>
  <c r="D28" i="2"/>
  <c r="AM8" i="2"/>
  <c r="AM9" i="2" s="1"/>
  <c r="AM27" i="2" s="1"/>
  <c r="AN23" i="2"/>
  <c r="N28" i="2"/>
  <c r="AO23" i="2"/>
  <c r="AN26" i="2"/>
  <c r="AL30" i="2"/>
  <c r="N18" i="2"/>
  <c r="M18" i="2"/>
  <c r="AN25" i="2"/>
  <c r="AO22" i="2"/>
  <c r="AN24" i="2"/>
  <c r="AL14" i="2"/>
  <c r="AL27" i="2"/>
  <c r="C16" i="2"/>
  <c r="C28" i="2"/>
  <c r="L9" i="2"/>
  <c r="L27" i="2" s="1"/>
  <c r="G9" i="2"/>
  <c r="K9" i="2"/>
  <c r="H9" i="2"/>
  <c r="AV4" i="2" l="1"/>
  <c r="AW4" i="2" s="1"/>
  <c r="AX4" i="2" s="1"/>
  <c r="AY4" i="2" s="1"/>
  <c r="AZ4" i="2" s="1"/>
  <c r="BA4" i="2" s="1"/>
  <c r="AU7" i="2"/>
  <c r="AS6" i="2"/>
  <c r="AT3" i="2"/>
  <c r="AF28" i="2"/>
  <c r="AF16" i="2"/>
  <c r="AG28" i="2"/>
  <c r="AG16" i="2"/>
  <c r="AE28" i="2"/>
  <c r="AE16" i="2"/>
  <c r="AH28" i="2"/>
  <c r="AH16" i="2"/>
  <c r="V18" i="2"/>
  <c r="V32" i="2"/>
  <c r="Y18" i="2"/>
  <c r="Y32" i="2"/>
  <c r="U18" i="2"/>
  <c r="U32" i="2"/>
  <c r="X18" i="2"/>
  <c r="X32" i="2"/>
  <c r="T18" i="2"/>
  <c r="T32" i="2"/>
  <c r="W18" i="2"/>
  <c r="W32" i="2"/>
  <c r="S18" i="2"/>
  <c r="S32" i="2"/>
  <c r="AC28" i="2"/>
  <c r="AD18" i="2"/>
  <c r="AD20" i="2" s="1"/>
  <c r="AD28" i="2"/>
  <c r="Z20" i="2"/>
  <c r="Z33" i="2"/>
  <c r="AA18" i="2"/>
  <c r="AA32" i="2"/>
  <c r="AO29" i="2"/>
  <c r="P32" i="2"/>
  <c r="P28" i="2"/>
  <c r="M20" i="2"/>
  <c r="M33" i="2"/>
  <c r="N20" i="2"/>
  <c r="N33" i="2"/>
  <c r="Q28" i="2"/>
  <c r="Q32" i="2"/>
  <c r="P33" i="2"/>
  <c r="R32" i="2"/>
  <c r="R28" i="2"/>
  <c r="AM13" i="2"/>
  <c r="AM14" i="2" s="1"/>
  <c r="AM28" i="2" s="1"/>
  <c r="O28" i="2"/>
  <c r="O18" i="2"/>
  <c r="AP29" i="2"/>
  <c r="AK16" i="2"/>
  <c r="AK18" i="2" s="1"/>
  <c r="AP31" i="2"/>
  <c r="AJ28" i="2"/>
  <c r="AK28" i="2"/>
  <c r="F16" i="2"/>
  <c r="F28" i="2"/>
  <c r="AJ18" i="2"/>
  <c r="AJ32" i="2"/>
  <c r="I18" i="2"/>
  <c r="I32" i="2"/>
  <c r="E18" i="2"/>
  <c r="E32" i="2"/>
  <c r="D18" i="2"/>
  <c r="D32" i="2"/>
  <c r="J16" i="2"/>
  <c r="J28" i="2"/>
  <c r="H14" i="2"/>
  <c r="H27" i="2"/>
  <c r="K14" i="2"/>
  <c r="K27" i="2"/>
  <c r="AN8" i="2"/>
  <c r="AN9" i="2" s="1"/>
  <c r="AN27" i="2" s="1"/>
  <c r="G14" i="2"/>
  <c r="G27" i="2"/>
  <c r="AO5" i="2"/>
  <c r="AO25" i="2"/>
  <c r="AP22" i="2"/>
  <c r="AL17" i="2"/>
  <c r="M32" i="2"/>
  <c r="AN13" i="2"/>
  <c r="AN30" i="2"/>
  <c r="AL16" i="2"/>
  <c r="AL28" i="2"/>
  <c r="L14" i="2"/>
  <c r="C18" i="2"/>
  <c r="C32" i="2"/>
  <c r="AV7" i="2" l="1"/>
  <c r="AU3" i="2"/>
  <c r="AU6" i="2" s="1"/>
  <c r="AT6" i="2"/>
  <c r="AG17" i="2"/>
  <c r="AG32" i="2" s="1"/>
  <c r="AF17" i="2"/>
  <c r="AF32" i="2" s="1"/>
  <c r="AH17" i="2"/>
  <c r="AH32" i="2" s="1"/>
  <c r="AD33" i="2"/>
  <c r="S20" i="2"/>
  <c r="S33" i="2"/>
  <c r="U20" i="2"/>
  <c r="U33" i="2"/>
  <c r="X20" i="2"/>
  <c r="X33" i="2"/>
  <c r="W20" i="2"/>
  <c r="W33" i="2"/>
  <c r="Y20" i="2"/>
  <c r="Y33" i="2"/>
  <c r="T20" i="2"/>
  <c r="T33" i="2"/>
  <c r="V20" i="2"/>
  <c r="V33" i="2"/>
  <c r="AC32" i="2"/>
  <c r="AP17" i="2"/>
  <c r="AC18" i="2"/>
  <c r="AA20" i="2"/>
  <c r="AA33" i="2"/>
  <c r="O20" i="2"/>
  <c r="O33" i="2"/>
  <c r="E20" i="2"/>
  <c r="E33" i="2"/>
  <c r="I20" i="2"/>
  <c r="I33" i="2"/>
  <c r="AK20" i="2"/>
  <c r="AK33" i="2"/>
  <c r="C20" i="2"/>
  <c r="C33" i="2"/>
  <c r="AK32" i="2"/>
  <c r="AJ20" i="2"/>
  <c r="AJ33" i="2"/>
  <c r="D20" i="2"/>
  <c r="D33" i="2"/>
  <c r="O32" i="2"/>
  <c r="AM17" i="2"/>
  <c r="AQ31" i="2"/>
  <c r="AQ29" i="2"/>
  <c r="AO24" i="2"/>
  <c r="J18" i="2"/>
  <c r="J32" i="2"/>
  <c r="AN14" i="2"/>
  <c r="AN28" i="2" s="1"/>
  <c r="K16" i="2"/>
  <c r="K28" i="2"/>
  <c r="H16" i="2"/>
  <c r="H28" i="2"/>
  <c r="G16" i="2"/>
  <c r="G28" i="2"/>
  <c r="F18" i="2"/>
  <c r="F32" i="2"/>
  <c r="AM16" i="2"/>
  <c r="AQ5" i="2"/>
  <c r="AP5" i="2"/>
  <c r="AP23" i="2"/>
  <c r="AO8" i="2"/>
  <c r="AO9" i="2" s="1"/>
  <c r="AO27" i="2" s="1"/>
  <c r="AO26" i="2"/>
  <c r="AP25" i="2"/>
  <c r="AO30" i="2"/>
  <c r="AO13" i="2"/>
  <c r="AQ22" i="2"/>
  <c r="AL18" i="2"/>
  <c r="AL32" i="2"/>
  <c r="L16" i="2"/>
  <c r="L28" i="2"/>
  <c r="AW7" i="2" l="1"/>
  <c r="AE32" i="2"/>
  <c r="AQ17" i="2"/>
  <c r="AF18" i="2"/>
  <c r="AF33" i="2" s="1"/>
  <c r="AG18" i="2"/>
  <c r="AE18" i="2"/>
  <c r="AH18" i="2"/>
  <c r="AV3" i="2"/>
  <c r="AV6" i="2" s="1"/>
  <c r="AC33" i="2"/>
  <c r="AC20" i="2"/>
  <c r="F20" i="2"/>
  <c r="F33" i="2"/>
  <c r="AL20" i="2"/>
  <c r="AL33" i="2"/>
  <c r="J20" i="2"/>
  <c r="J33" i="2"/>
  <c r="R33" i="2"/>
  <c r="Q33" i="2"/>
  <c r="AM32" i="2"/>
  <c r="AR31" i="2"/>
  <c r="AR29" i="2"/>
  <c r="AP26" i="2"/>
  <c r="H18" i="2"/>
  <c r="H32" i="2"/>
  <c r="G18" i="2"/>
  <c r="G32" i="2"/>
  <c r="K18" i="2"/>
  <c r="K32" i="2"/>
  <c r="AO14" i="2"/>
  <c r="AP24" i="2"/>
  <c r="AQ23" i="2"/>
  <c r="AP9" i="2"/>
  <c r="AP27" i="2" s="1"/>
  <c r="AQ26" i="2"/>
  <c r="AR5" i="2"/>
  <c r="AR11" i="2" s="1"/>
  <c r="AQ24" i="2"/>
  <c r="AP30" i="2"/>
  <c r="AP13" i="2"/>
  <c r="AR22" i="2"/>
  <c r="AQ25" i="2"/>
  <c r="L18" i="2"/>
  <c r="L32" i="2"/>
  <c r="AX7" i="2" l="1"/>
  <c r="AF20" i="2"/>
  <c r="AG20" i="2"/>
  <c r="AG33" i="2"/>
  <c r="AE20" i="2"/>
  <c r="AE33" i="2"/>
  <c r="AH20" i="2"/>
  <c r="AH33" i="2"/>
  <c r="AW23" i="2"/>
  <c r="AW3" i="2"/>
  <c r="AW6" i="2" s="1"/>
  <c r="K20" i="2"/>
  <c r="K33" i="2"/>
  <c r="G20" i="2"/>
  <c r="G33" i="2"/>
  <c r="L20" i="2"/>
  <c r="L33" i="2"/>
  <c r="H20" i="2"/>
  <c r="H33" i="2"/>
  <c r="AM18" i="2"/>
  <c r="AM33" i="2" s="1"/>
  <c r="AS29" i="2"/>
  <c r="AS31" i="2"/>
  <c r="AR23" i="2"/>
  <c r="AQ8" i="2"/>
  <c r="AQ9" i="2" s="1"/>
  <c r="AQ27" i="2" s="1"/>
  <c r="AP14" i="2"/>
  <c r="AO28" i="2"/>
  <c r="AR26" i="2"/>
  <c r="AR24" i="2"/>
  <c r="AQ30" i="2"/>
  <c r="AQ13" i="2"/>
  <c r="AR25" i="2"/>
  <c r="AS22" i="2"/>
  <c r="AY7" i="2" l="1"/>
  <c r="AW26" i="2"/>
  <c r="AX3" i="2"/>
  <c r="AX6" i="2" s="1"/>
  <c r="AM20" i="2"/>
  <c r="AN16" i="2"/>
  <c r="AN32" i="2" s="1"/>
  <c r="AT31" i="2"/>
  <c r="AT29" i="2"/>
  <c r="AR8" i="2"/>
  <c r="AR9" i="2" s="1"/>
  <c r="AR27" i="2" s="1"/>
  <c r="AQ14" i="2"/>
  <c r="AP28" i="2"/>
  <c r="AS23" i="2"/>
  <c r="AS26" i="2"/>
  <c r="AS5" i="2"/>
  <c r="AS11" i="2" s="1"/>
  <c r="AS25" i="2"/>
  <c r="AT22" i="2"/>
  <c r="AR30" i="2"/>
  <c r="AR13" i="2"/>
  <c r="BA7" i="2" l="1"/>
  <c r="AZ7" i="2"/>
  <c r="AX26" i="2"/>
  <c r="AX23" i="2"/>
  <c r="AY3" i="2"/>
  <c r="AY6" i="2" s="1"/>
  <c r="AN18" i="2"/>
  <c r="AU29" i="2"/>
  <c r="AU31" i="2"/>
  <c r="AQ28" i="2"/>
  <c r="AR14" i="2"/>
  <c r="AT23" i="2"/>
  <c r="AS8" i="2"/>
  <c r="AS9" i="2" s="1"/>
  <c r="AS27" i="2" s="1"/>
  <c r="AT5" i="2"/>
  <c r="AT11" i="2" s="1"/>
  <c r="AS24" i="2"/>
  <c r="AT26" i="2"/>
  <c r="AT25" i="2"/>
  <c r="AS30" i="2"/>
  <c r="AS13" i="2"/>
  <c r="AU22" i="2"/>
  <c r="AY26" i="2" l="1"/>
  <c r="AY23" i="2"/>
  <c r="AZ3" i="2"/>
  <c r="AZ6" i="2" s="1"/>
  <c r="AV31" i="2"/>
  <c r="AV29" i="2"/>
  <c r="AN20" i="2"/>
  <c r="AN33" i="2"/>
  <c r="AO16" i="2"/>
  <c r="AO32" i="2" s="1"/>
  <c r="AR28" i="2"/>
  <c r="AU8" i="2"/>
  <c r="AU5" i="2"/>
  <c r="AU11" i="2" s="1"/>
  <c r="AS14" i="2"/>
  <c r="AS28" i="2" s="1"/>
  <c r="AT24" i="2"/>
  <c r="AU23" i="2"/>
  <c r="AT8" i="2"/>
  <c r="AT9" i="2" s="1"/>
  <c r="AT27" i="2" s="1"/>
  <c r="AU25" i="2"/>
  <c r="AT30" i="2"/>
  <c r="AT13" i="2"/>
  <c r="AV22" i="2"/>
  <c r="AZ26" i="2" l="1"/>
  <c r="AZ23" i="2"/>
  <c r="BA3" i="2"/>
  <c r="BA6" i="2" s="1"/>
  <c r="AW31" i="2"/>
  <c r="AX29" i="2"/>
  <c r="AX8" i="2"/>
  <c r="AX22" i="2"/>
  <c r="AX5" i="2"/>
  <c r="AX11" i="2" s="1"/>
  <c r="AW29" i="2"/>
  <c r="AW8" i="2"/>
  <c r="AW22" i="2"/>
  <c r="AW5" i="2"/>
  <c r="AW11" i="2" s="1"/>
  <c r="AO18" i="2"/>
  <c r="AO33" i="2" s="1"/>
  <c r="AU24" i="2"/>
  <c r="AU9" i="2"/>
  <c r="AU27" i="2" s="1"/>
  <c r="AT14" i="2"/>
  <c r="AU26" i="2"/>
  <c r="AV5" i="2"/>
  <c r="AV11" i="2" s="1"/>
  <c r="AV26" i="2"/>
  <c r="AV23" i="2"/>
  <c r="AV8" i="2"/>
  <c r="AU13" i="2"/>
  <c r="AU30" i="2"/>
  <c r="AV25" i="2"/>
  <c r="BA23" i="2" l="1"/>
  <c r="BA26" i="2"/>
  <c r="AX31" i="2"/>
  <c r="AY29" i="2"/>
  <c r="AX25" i="2"/>
  <c r="AX24" i="2"/>
  <c r="AX9" i="2"/>
  <c r="AY22" i="2"/>
  <c r="AY8" i="2"/>
  <c r="AY5" i="2"/>
  <c r="AY11" i="2" s="1"/>
  <c r="AW25" i="2"/>
  <c r="AW24" i="2"/>
  <c r="AW9" i="2"/>
  <c r="AP16" i="2"/>
  <c r="AO20" i="2"/>
  <c r="AU14" i="2"/>
  <c r="AU28" i="2" s="1"/>
  <c r="AV24" i="2"/>
  <c r="AV9" i="2"/>
  <c r="AV27" i="2" s="1"/>
  <c r="AT28" i="2"/>
  <c r="AV13" i="2"/>
  <c r="AV30" i="2"/>
  <c r="AY31" i="2" l="1"/>
  <c r="AZ29" i="2"/>
  <c r="BA29" i="2"/>
  <c r="AZ22" i="2"/>
  <c r="AZ8" i="2"/>
  <c r="AZ5" i="2"/>
  <c r="AZ11" i="2" s="1"/>
  <c r="AY24" i="2"/>
  <c r="AY9" i="2"/>
  <c r="AY25" i="2"/>
  <c r="AX27" i="2"/>
  <c r="AX13" i="2"/>
  <c r="AX14" i="2" s="1"/>
  <c r="AX28" i="2" s="1"/>
  <c r="AX30" i="2"/>
  <c r="AW27" i="2"/>
  <c r="AW30" i="2"/>
  <c r="AW13" i="2"/>
  <c r="AW14" i="2" s="1"/>
  <c r="AW28" i="2" s="1"/>
  <c r="AP32" i="2"/>
  <c r="AV14" i="2"/>
  <c r="AV28" i="2" s="1"/>
  <c r="BA31" i="2" l="1"/>
  <c r="AZ31" i="2"/>
  <c r="AY13" i="2"/>
  <c r="AY14" i="2" s="1"/>
  <c r="AY28" i="2" s="1"/>
  <c r="AY30" i="2"/>
  <c r="BA22" i="2"/>
  <c r="BA5" i="2"/>
  <c r="BA11" i="2" s="1"/>
  <c r="BA8" i="2"/>
  <c r="AY27" i="2"/>
  <c r="AZ24" i="2"/>
  <c r="AZ9" i="2"/>
  <c r="AZ25" i="2"/>
  <c r="AP18" i="2"/>
  <c r="BA25" i="2" l="1"/>
  <c r="BA24" i="2"/>
  <c r="BA9" i="2"/>
  <c r="AZ27" i="2"/>
  <c r="AZ13" i="2"/>
  <c r="AZ14" i="2" s="1"/>
  <c r="AZ28" i="2" s="1"/>
  <c r="AZ30" i="2"/>
  <c r="AQ16" i="2"/>
  <c r="AQ32" i="2" s="1"/>
  <c r="AP33" i="2"/>
  <c r="AP20" i="2"/>
  <c r="BA27" i="2" l="1"/>
  <c r="BA13" i="2"/>
  <c r="BA14" i="2" s="1"/>
  <c r="BA28" i="2" s="1"/>
  <c r="BA30" i="2"/>
  <c r="AQ18" i="2"/>
  <c r="AR16" i="2" l="1"/>
  <c r="AR17" i="2" s="1"/>
  <c r="AR32" i="2" s="1"/>
  <c r="AQ33" i="2"/>
  <c r="AQ20" i="2"/>
  <c r="AR18" i="2" l="1"/>
  <c r="AS16" i="2" l="1"/>
  <c r="AS17" i="2" s="1"/>
  <c r="AS32" i="2" s="1"/>
  <c r="AR33" i="2"/>
  <c r="AR20" i="2"/>
  <c r="AS18" i="2" l="1"/>
  <c r="AT16" i="2" l="1"/>
  <c r="AT17" i="2" s="1"/>
  <c r="AT32" i="2" s="1"/>
  <c r="AS33" i="2"/>
  <c r="AS20" i="2"/>
  <c r="AT18" i="2" l="1"/>
  <c r="AU16" i="2" l="1"/>
  <c r="AU17" i="2" s="1"/>
  <c r="AU32" i="2" s="1"/>
  <c r="AT33" i="2"/>
  <c r="AT20" i="2"/>
  <c r="AU18" i="2" l="1"/>
  <c r="AU20" i="2" l="1"/>
  <c r="AU33" i="2"/>
  <c r="AV16" i="2"/>
  <c r="AV17" i="2" s="1"/>
  <c r="AV32" i="2" s="1"/>
  <c r="AV18" i="2" l="1"/>
  <c r="AV33" i="2" l="1"/>
  <c r="AW16" i="2"/>
  <c r="AV20" i="2"/>
  <c r="AW17" i="2" l="1"/>
  <c r="AW32" i="2" s="1"/>
  <c r="AW18" i="2" l="1"/>
  <c r="AW33" i="2" l="1"/>
  <c r="AX16" i="2"/>
  <c r="AW20" i="2"/>
  <c r="AX17" i="2" l="1"/>
  <c r="AX32" i="2" s="1"/>
  <c r="AX18" i="2" l="1"/>
  <c r="AX33" i="2" s="1"/>
  <c r="AX20" i="2" l="1"/>
  <c r="AY16" i="2"/>
  <c r="AY17" i="2" s="1"/>
  <c r="AY18" i="2" l="1"/>
  <c r="AY33" i="2" s="1"/>
  <c r="AY32" i="2"/>
  <c r="AY20" i="2" l="1"/>
  <c r="AZ16" i="2"/>
  <c r="AZ17" i="2" s="1"/>
  <c r="AZ32" i="2" s="1"/>
  <c r="AZ18" i="2" l="1"/>
  <c r="AZ33" i="2" s="1"/>
  <c r="BA16" i="2" l="1"/>
  <c r="BA17" i="2" s="1"/>
  <c r="AZ20" i="2"/>
  <c r="BA18" i="2" l="1"/>
  <c r="BA32" i="2"/>
  <c r="BA20" i="2" l="1"/>
  <c r="BA33" i="2"/>
  <c r="BB18" i="2" l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BD27" i="2" s="1"/>
  <c r="BD29" i="2" s="1"/>
  <c r="BD30" i="2" s="1"/>
  <c r="BD32" i="2" s="1"/>
</calcChain>
</file>

<file path=xl/sharedStrings.xml><?xml version="1.0" encoding="utf-8"?>
<sst xmlns="http://schemas.openxmlformats.org/spreadsheetml/2006/main" count="87" uniqueCount="82">
  <si>
    <t>ROKU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</si>
  <si>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</si>
  <si>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</si>
  <si>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</si>
  <si>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</si>
  <si>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</si>
  <si>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</si>
  <si>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</si>
  <si>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</si>
  <si>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</si>
  <si>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</si>
  <si>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</si>
  <si>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</si>
  <si>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</si>
  <si>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</si>
  <si>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</si>
  <si>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</si>
  <si>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</si>
  <si>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</si>
  <si>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</si>
  <si>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</si>
  <si>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</si>
  <si>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</si>
  <si>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Player cost</t>
  </si>
  <si>
    <t>Platform revenue</t>
  </si>
  <si>
    <t>Player revenue</t>
  </si>
  <si>
    <t>Cost of sales</t>
  </si>
  <si>
    <t>Gross profit</t>
  </si>
  <si>
    <t>R&amp;D</t>
  </si>
  <si>
    <t>S&amp;M</t>
  </si>
  <si>
    <t>G&amp;A</t>
  </si>
  <si>
    <t>Operating expenses</t>
  </si>
  <si>
    <t>Operating profit</t>
  </si>
  <si>
    <t>Net finance expense</t>
  </si>
  <si>
    <t>Pretax profit</t>
  </si>
  <si>
    <t>Taxes</t>
  </si>
  <si>
    <t>Net profit</t>
  </si>
  <si>
    <t>EPS</t>
  </si>
  <si>
    <t>Platform cost</t>
  </si>
  <si>
    <t>Gross Margin</t>
  </si>
  <si>
    <t>Revenue y/y</t>
  </si>
  <si>
    <t>Operating Margin</t>
  </si>
  <si>
    <t>S&amp;M Margin</t>
  </si>
  <si>
    <t>Platform Margin</t>
  </si>
  <si>
    <t>Player Margin</t>
  </si>
  <si>
    <t>Platform revenue y/y</t>
  </si>
  <si>
    <t>Player 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</si>
  <si>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</si>
  <si>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</si>
  <si>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</si>
  <si>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</si>
  <si>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</si>
  <si>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</si>
  <si>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</si>
  <si>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</si>
  <si>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</si>
  <si>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Earnings</t>
  </si>
  <si>
    <t>Q121</t>
  </si>
  <si>
    <t>Q221</t>
  </si>
  <si>
    <t>Q321</t>
  </si>
  <si>
    <t>Q421</t>
  </si>
  <si>
    <t>R&amp;D y/y</t>
  </si>
  <si>
    <t>G&amp;A y/y</t>
  </si>
  <si>
    <t>Net Margin</t>
  </si>
  <si>
    <t>Q124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</si>
  <si>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</si>
  <si>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</si>
  <si>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</si>
  <si>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</si>
  <si>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</si>
  <si>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</si>
  <si>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</si>
  <si>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</si>
  <si>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</si>
  <si>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</si>
  <si>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</si>
  <si>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Q125</t>
  </si>
  <si>
    <t>Q225</t>
  </si>
  <si>
    <t>Q325</t>
  </si>
  <si>
    <t>Q425</t>
  </si>
  <si>
    <t>hard to value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</si>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</sst>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4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30480</xdr:colOff>
      <xdr:row>0</xdr:row>
      <xdr:rowOff>0</xdr:rowOff>
    </xdr:from>
    <xdr:to>
      <xdr:col>31</xdr:col>
      <xdr:colOff>30480</xdr:colOff>
      <xdr:row>33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D85DB5-9C4A-4F40-BD66-D47D1AF81E3D}"/>
            </a:ext>
          </a:extLst>
        </xdr:cNvPr>
        <xdr:cNvCxnSpPr/>
      </xdr:nvCxnSpPr>
      <xdr:spPr>
        <a:xfrm>
          <a:off x="1957578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15240</xdr:colOff>
      <xdr:row>0</xdr:row>
      <xdr:rowOff>0</xdr:rowOff>
    </xdr:from>
    <xdr:to>
      <xdr:col>42</xdr:col>
      <xdr:colOff>15240</xdr:colOff>
      <xdr:row>33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B47AF3F-5E94-41DC-9CAD-B9FFAA0F2DB6}"/>
            </a:ext>
          </a:extLst>
        </xdr:cNvPr>
        <xdr:cNvCxnSpPr/>
      </xdr:nvCxnSpPr>
      <xdr:spPr>
        <a:xfrm>
          <a:off x="26266140" y="0"/>
          <a:ext cx="0" cy="6111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70-B61B-4743-A381-58B3BCF482B7}">
  <dimension ref="B2:G9"/>
  <sheetViews>
    <sheetView workbookViewId="0">
      <selection activeCell="G3" sqref="G3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56</v>
      </c>
    </row>
    <row r="3" spans="2:7" x14ac:dyDescent="0.3">
      <c r="B3" s="1" t="s">
        <v>0</v>
      </c>
      <c r="C3" t="s">
        <v>1</v>
      </c>
      <c r="D3" s="11">
        <v>59.53</v>
      </c>
      <c r="E3" s="4">
        <v>45783</v>
      </c>
      <c r="F3" s="4">
        <f ca="1">TODAY()</f>
        <v>45783</v>
      </c>
      <c r="G3" s="4">
        <v>45869</v>
      </c>
    </row>
    <row r="4" spans="2:7" x14ac:dyDescent="0.3">
      <c r="C4" t="s">
        <v>2</v>
      </c>
      <c r="D4" s="5">
        <f>129.5+17.1</f>
        <v>146.6</v>
      </c>
      <c r="E4" s="3" t="s">
        <v>76</v>
      </c>
    </row>
    <row r="5" spans="2:7" x14ac:dyDescent="0.3">
      <c r="C5" t="s">
        <v>3</v>
      </c>
      <c r="D5" s="5">
        <f>D4*D3</f>
        <v>8727.098</v>
      </c>
    </row>
    <row r="6" spans="2:7" x14ac:dyDescent="0.3">
      <c r="C6" t="s">
        <v>4</v>
      </c>
      <c r="D6" s="5">
        <f>2256.1</f>
        <v>2256.1</v>
      </c>
      <c r="E6" s="3" t="s">
        <v>76</v>
      </c>
    </row>
    <row r="7" spans="2:7" x14ac:dyDescent="0.3">
      <c r="C7" t="s">
        <v>5</v>
      </c>
      <c r="D7" s="5">
        <v>0</v>
      </c>
      <c r="E7" s="3" t="s">
        <v>76</v>
      </c>
    </row>
    <row r="8" spans="2:7" x14ac:dyDescent="0.3">
      <c r="C8" t="s">
        <v>6</v>
      </c>
      <c r="D8" s="5">
        <f>D6-D7</f>
        <v>2256.1</v>
      </c>
    </row>
    <row r="9" spans="2:7" x14ac:dyDescent="0.3">
      <c r="C9" t="s">
        <v>7</v>
      </c>
      <c r="D9" s="5">
        <f>D5-D8</f>
        <v>6470.9979999999996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321-D042-44C2-A13A-18A1A0821A3D}">
  <dimension ref="B2:FG35"/>
  <sheetViews>
    <sheetView tabSelected="1" zoomScaleNormal="100" workbookViewId="0">
      <pane xSplit="2" ySplit="2" topLeftCell="AO9" activePane="bottomRight" state="frozen"/>
      <selection pane="topRight" activeCell="C1" sqref="C1"/>
      <selection pane="bottomLeft" activeCell="A3" sqref="A3"/>
      <selection pane="bottomRight" activeCell="BD32" sqref="BD32"/>
    </sheetView>
  </sheetViews>
  <sheetFormatPr defaultRowHeight="14.4" x14ac:dyDescent="0.3"/>
  <cols>
    <col min="2" max="2" width="18.33203125" bestFit="1" customWidth="1"/>
    <col min="50" max="53" width="8.88671875" customWidth="1"/>
    <col min="55" max="55" width="11.88671875" bestFit="1" customWidth="1"/>
    <col min="56" max="56" width="17.33203125" bestFit="1" customWidth="1"/>
  </cols>
  <sheetData>
    <row r="2" spans="2:53" x14ac:dyDescent="0.3"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64</v>
      </c>
      <c r="AB2" s="2" t="s">
        <v>73</v>
      </c>
      <c r="AC2" s="2" t="s">
        <v>74</v>
      </c>
      <c r="AD2" s="2" t="s">
        <v>75</v>
      </c>
      <c r="AE2" s="2" t="s">
        <v>76</v>
      </c>
      <c r="AF2" s="2" t="s">
        <v>77</v>
      </c>
      <c r="AG2" s="2" t="s">
        <v>78</v>
      </c>
      <c r="AH2" s="2" t="s">
        <v>79</v>
      </c>
      <c r="AJ2">
        <v>2018</v>
      </c>
      <c r="AK2">
        <v>2019</v>
      </c>
      <c r="AL2">
        <v>2020</v>
      </c>
      <c r="AM2">
        <v>2021</v>
      </c>
      <c r="AN2">
        <v>2022</v>
      </c>
      <c r="AO2">
        <v>2023</v>
      </c>
      <c r="AP2">
        <v>2024</v>
      </c>
      <c r="AQ2">
        <v>2025</v>
      </c>
      <c r="AR2">
        <v>2026</v>
      </c>
      <c r="AS2">
        <v>2027</v>
      </c>
      <c r="AT2">
        <v>2028</v>
      </c>
      <c r="AU2">
        <v>2029</v>
      </c>
      <c r="AV2">
        <v>2030</v>
      </c>
      <c r="AW2">
        <v>2031</v>
      </c>
      <c r="AX2">
        <v>2032</v>
      </c>
      <c r="AY2">
        <v>2033</v>
      </c>
      <c r="AZ2">
        <v>2034</v>
      </c>
      <c r="BA2">
        <v>2035</v>
      </c>
    </row>
    <row r="3" spans="2:53" x14ac:dyDescent="0.3">
      <c r="B3" t="s">
        <v>24</v>
      </c>
      <c r="C3" s="7">
        <v>75.099999999999994</v>
      </c>
      <c r="D3" s="7">
        <v>90.3</v>
      </c>
      <c r="E3" s="7">
        <v>100.1</v>
      </c>
      <c r="F3" s="7">
        <v>151.4</v>
      </c>
      <c r="G3" s="7">
        <v>134.19999999999999</v>
      </c>
      <c r="H3" s="7">
        <v>167.7</v>
      </c>
      <c r="I3" s="7">
        <v>179.3</v>
      </c>
      <c r="J3" s="7">
        <v>259.60000000000002</v>
      </c>
      <c r="K3" s="7">
        <v>232.6</v>
      </c>
      <c r="L3" s="7">
        <v>244.8</v>
      </c>
      <c r="M3" s="7">
        <v>319.2</v>
      </c>
      <c r="N3" s="7">
        <v>471.2</v>
      </c>
      <c r="O3" s="7">
        <v>466.5</v>
      </c>
      <c r="P3" s="7">
        <v>532.29999999999995</v>
      </c>
      <c r="Q3" s="7">
        <v>582.5</v>
      </c>
      <c r="R3" s="7">
        <v>703.6</v>
      </c>
      <c r="S3" s="7">
        <v>646.9</v>
      </c>
      <c r="T3" s="7">
        <v>669.3</v>
      </c>
      <c r="U3" s="7">
        <v>667.2</v>
      </c>
      <c r="V3" s="7">
        <v>731.3</v>
      </c>
      <c r="W3" s="7">
        <v>634.6</v>
      </c>
      <c r="X3" s="7">
        <v>743.9</v>
      </c>
      <c r="Y3" s="7">
        <v>786.8</v>
      </c>
      <c r="Z3" s="7">
        <v>828.9</v>
      </c>
      <c r="AA3" s="7">
        <v>754.9</v>
      </c>
      <c r="AB3" s="7">
        <v>824.3</v>
      </c>
      <c r="AC3" s="7">
        <v>908.2</v>
      </c>
      <c r="AD3" s="7">
        <v>1035.3</v>
      </c>
      <c r="AE3" s="7">
        <v>880.8</v>
      </c>
      <c r="AF3" s="7">
        <f>AB3*1.15</f>
        <v>947.94499999999982</v>
      </c>
      <c r="AG3" s="7">
        <f>AC3*1.13</f>
        <v>1026.2659999999998</v>
      </c>
      <c r="AH3" s="7">
        <f>AD3*1.1</f>
        <v>1138.8300000000002</v>
      </c>
      <c r="AI3" s="8"/>
      <c r="AJ3" s="5">
        <f>SUM(C3:F3)</f>
        <v>416.9</v>
      </c>
      <c r="AK3" s="5">
        <f>SUM(G3:J3)</f>
        <v>740.8</v>
      </c>
      <c r="AL3" s="5">
        <f>SUM(K3:N3)</f>
        <v>1267.8</v>
      </c>
      <c r="AM3" s="5">
        <f>SUM(O3:R3)</f>
        <v>2284.9</v>
      </c>
      <c r="AN3" s="5">
        <f>SUM(S3:V3)</f>
        <v>2714.7</v>
      </c>
      <c r="AO3" s="5">
        <f>SUM(W3:Z3)</f>
        <v>2994.2000000000003</v>
      </c>
      <c r="AP3" s="5">
        <f>SUM(AA3:AD3)</f>
        <v>3522.7</v>
      </c>
      <c r="AQ3" s="5">
        <f>SUM(AE3:AH3)</f>
        <v>3993.8409999999994</v>
      </c>
      <c r="AR3" s="5">
        <f>AQ3*1.1</f>
        <v>4393.2250999999997</v>
      </c>
      <c r="AS3" s="5">
        <f>AR3*1.08</f>
        <v>4744.6831080000002</v>
      </c>
      <c r="AT3" s="5">
        <f>AS3*1.06</f>
        <v>5029.3640944800009</v>
      </c>
      <c r="AU3" s="5">
        <f>AT3*1.04</f>
        <v>5230.5386582592009</v>
      </c>
      <c r="AV3" s="5">
        <f t="shared" ref="AV3" si="0">AU3*1.03</f>
        <v>5387.4548180069769</v>
      </c>
      <c r="AW3" s="5">
        <f>AV3*1.02</f>
        <v>5495.2039143671163</v>
      </c>
      <c r="AX3" s="5">
        <f t="shared" ref="AX3:BA3" si="1">AW3*1.02</f>
        <v>5605.1079926544589</v>
      </c>
      <c r="AY3" s="5">
        <f t="shared" si="1"/>
        <v>5717.2101525075486</v>
      </c>
      <c r="AZ3" s="5">
        <f t="shared" si="1"/>
        <v>5831.5543555576996</v>
      </c>
      <c r="BA3" s="5">
        <f t="shared" si="1"/>
        <v>5948.1854426688533</v>
      </c>
    </row>
    <row r="4" spans="2:53" x14ac:dyDescent="0.3">
      <c r="B4" t="s">
        <v>25</v>
      </c>
      <c r="C4" s="7">
        <v>61.5</v>
      </c>
      <c r="D4" s="7">
        <v>66.5</v>
      </c>
      <c r="E4" s="7">
        <v>73.3</v>
      </c>
      <c r="F4" s="7">
        <v>124.3</v>
      </c>
      <c r="G4" s="7">
        <v>72.5</v>
      </c>
      <c r="H4" s="7">
        <v>82.4</v>
      </c>
      <c r="I4" s="7">
        <v>81.599999999999994</v>
      </c>
      <c r="J4" s="7">
        <v>151.6</v>
      </c>
      <c r="K4" s="7">
        <v>88.2</v>
      </c>
      <c r="L4" s="7">
        <v>111.3</v>
      </c>
      <c r="M4" s="7">
        <v>132.4</v>
      </c>
      <c r="N4" s="7">
        <v>178.7</v>
      </c>
      <c r="O4" s="7">
        <v>107.7</v>
      </c>
      <c r="P4" s="7">
        <v>112.8</v>
      </c>
      <c r="Q4" s="7">
        <v>97.4</v>
      </c>
      <c r="R4" s="7">
        <v>161.69999999999999</v>
      </c>
      <c r="S4" s="7">
        <v>86.8</v>
      </c>
      <c r="T4" s="7">
        <v>95.2</v>
      </c>
      <c r="U4" s="7">
        <v>94.2</v>
      </c>
      <c r="V4" s="7">
        <v>135.80000000000001</v>
      </c>
      <c r="W4" s="7">
        <v>106.4</v>
      </c>
      <c r="X4" s="7">
        <v>103.4</v>
      </c>
      <c r="Y4" s="7">
        <v>125.2</v>
      </c>
      <c r="Z4" s="7">
        <v>155.6</v>
      </c>
      <c r="AA4" s="7">
        <v>126.5</v>
      </c>
      <c r="AB4" s="7">
        <v>143.80000000000001</v>
      </c>
      <c r="AC4" s="7">
        <v>154</v>
      </c>
      <c r="AD4" s="7">
        <v>165.7</v>
      </c>
      <c r="AE4" s="7">
        <v>139.9</v>
      </c>
      <c r="AF4" s="7">
        <f>AB4*1.07</f>
        <v>153.86600000000001</v>
      </c>
      <c r="AG4" s="7">
        <f>AC4*1.03</f>
        <v>158.62</v>
      </c>
      <c r="AH4" s="7">
        <f t="shared" ref="AH4" si="2">AD4*1.03</f>
        <v>170.67099999999999</v>
      </c>
      <c r="AI4" s="8"/>
      <c r="AJ4" s="5">
        <f>SUM(C4:F4)</f>
        <v>325.60000000000002</v>
      </c>
      <c r="AK4" s="5">
        <f>SUM(G4:J4)</f>
        <v>388.1</v>
      </c>
      <c r="AL4" s="5">
        <f>SUM(K4:N4)</f>
        <v>510.59999999999997</v>
      </c>
      <c r="AM4" s="5">
        <f>SUM(O4:R4)</f>
        <v>479.59999999999997</v>
      </c>
      <c r="AN4" s="5">
        <f>SUM(S4:V4)</f>
        <v>412</v>
      </c>
      <c r="AO4" s="5">
        <f>SUM(W4:Z4)</f>
        <v>490.6</v>
      </c>
      <c r="AP4" s="5">
        <f>SUM(AA4:AD4)</f>
        <v>590</v>
      </c>
      <c r="AQ4" s="5">
        <f>SUM(AE4:AH4)</f>
        <v>623.05700000000002</v>
      </c>
      <c r="AR4" s="5">
        <f>AQ4*1.04</f>
        <v>647.97928000000002</v>
      </c>
      <c r="AS4" s="5">
        <f>AR4*1.03</f>
        <v>667.41865840000003</v>
      </c>
      <c r="AT4" s="5">
        <f t="shared" ref="AT4:AV4" si="3">AS4*1.02</f>
        <v>680.76703156799999</v>
      </c>
      <c r="AU4" s="5">
        <f t="shared" si="3"/>
        <v>694.38237219936002</v>
      </c>
      <c r="AV4" s="5">
        <f t="shared" si="3"/>
        <v>708.27001964334727</v>
      </c>
      <c r="AW4" s="5">
        <f>AV4*1.01</f>
        <v>715.35271983978078</v>
      </c>
      <c r="AX4" s="5">
        <f t="shared" ref="AX4:BA4" si="4">AW4*1.01</f>
        <v>722.50624703817857</v>
      </c>
      <c r="AY4" s="5">
        <f t="shared" si="4"/>
        <v>729.73130950856034</v>
      </c>
      <c r="AZ4" s="5">
        <f t="shared" si="4"/>
        <v>737.028622603646</v>
      </c>
      <c r="BA4" s="5">
        <f t="shared" si="4"/>
        <v>744.39890882968245</v>
      </c>
    </row>
    <row r="5" spans="2:53" s="1" customFormat="1" x14ac:dyDescent="0.3">
      <c r="B5" s="1" t="s">
        <v>10</v>
      </c>
      <c r="C5" s="8">
        <f t="shared" ref="C5:L5" si="5">C3+C4</f>
        <v>136.6</v>
      </c>
      <c r="D5" s="8">
        <f t="shared" si="5"/>
        <v>156.80000000000001</v>
      </c>
      <c r="E5" s="8">
        <f t="shared" si="5"/>
        <v>173.39999999999998</v>
      </c>
      <c r="F5" s="8">
        <f t="shared" si="5"/>
        <v>275.7</v>
      </c>
      <c r="G5" s="8">
        <f t="shared" si="5"/>
        <v>206.7</v>
      </c>
      <c r="H5" s="8">
        <f t="shared" si="5"/>
        <v>250.1</v>
      </c>
      <c r="I5" s="8">
        <f t="shared" si="5"/>
        <v>260.89999999999998</v>
      </c>
      <c r="J5" s="8">
        <f t="shared" si="5"/>
        <v>411.20000000000005</v>
      </c>
      <c r="K5" s="8">
        <f t="shared" si="5"/>
        <v>320.8</v>
      </c>
      <c r="L5" s="8">
        <f t="shared" si="5"/>
        <v>356.1</v>
      </c>
      <c r="M5" s="8">
        <f t="shared" ref="M5:AL5" si="6">M3+M4</f>
        <v>451.6</v>
      </c>
      <c r="N5" s="8">
        <f t="shared" si="6"/>
        <v>649.9</v>
      </c>
      <c r="O5" s="8">
        <f t="shared" si="6"/>
        <v>574.20000000000005</v>
      </c>
      <c r="P5" s="8">
        <f t="shared" ref="P5:Q5" si="7">P3+P4</f>
        <v>645.09999999999991</v>
      </c>
      <c r="Q5" s="8">
        <f t="shared" si="7"/>
        <v>679.9</v>
      </c>
      <c r="R5" s="8">
        <f t="shared" si="6"/>
        <v>865.3</v>
      </c>
      <c r="S5" s="8">
        <f t="shared" ref="S5:T5" si="8">S3+S4</f>
        <v>733.69999999999993</v>
      </c>
      <c r="T5" s="8">
        <f t="shared" si="8"/>
        <v>764.5</v>
      </c>
      <c r="U5" s="8">
        <f t="shared" ref="U5" si="9">U3+U4</f>
        <v>761.40000000000009</v>
      </c>
      <c r="V5" s="8">
        <f t="shared" ref="V5" si="10">V3+V4</f>
        <v>867.09999999999991</v>
      </c>
      <c r="W5" s="8">
        <f t="shared" ref="W5:X5" si="11">W3+W4</f>
        <v>741</v>
      </c>
      <c r="X5" s="8">
        <f t="shared" si="11"/>
        <v>847.3</v>
      </c>
      <c r="Y5" s="8">
        <f t="shared" ref="Y5" si="12">Y3+Y4</f>
        <v>912</v>
      </c>
      <c r="Z5" s="8">
        <f t="shared" ref="Z5:AH5" si="13">Z3+Z4</f>
        <v>984.5</v>
      </c>
      <c r="AA5" s="8">
        <f t="shared" si="13"/>
        <v>881.4</v>
      </c>
      <c r="AB5" s="8">
        <f t="shared" si="13"/>
        <v>968.09999999999991</v>
      </c>
      <c r="AC5" s="8">
        <f t="shared" si="13"/>
        <v>1062.2</v>
      </c>
      <c r="AD5" s="8">
        <f t="shared" si="13"/>
        <v>1201</v>
      </c>
      <c r="AE5" s="8">
        <f t="shared" si="13"/>
        <v>1020.6999999999999</v>
      </c>
      <c r="AF5" s="8">
        <f t="shared" si="13"/>
        <v>1101.8109999999999</v>
      </c>
      <c r="AG5" s="8">
        <f t="shared" si="13"/>
        <v>1184.886</v>
      </c>
      <c r="AH5" s="8">
        <f t="shared" si="13"/>
        <v>1309.5010000000002</v>
      </c>
      <c r="AI5" s="8"/>
      <c r="AJ5" s="8">
        <f t="shared" si="6"/>
        <v>742.5</v>
      </c>
      <c r="AK5" s="8">
        <f t="shared" si="6"/>
        <v>1128.9000000000001</v>
      </c>
      <c r="AL5" s="8">
        <f t="shared" si="6"/>
        <v>1778.3999999999999</v>
      </c>
      <c r="AM5" s="8">
        <f t="shared" ref="AM5" si="14">AM3+AM4</f>
        <v>2764.5</v>
      </c>
      <c r="AN5" s="8">
        <f t="shared" ref="AN5" si="15">AN3+AN4</f>
        <v>3126.7</v>
      </c>
      <c r="AO5" s="8">
        <f t="shared" ref="AO5" si="16">AO3+AO4</f>
        <v>3484.8</v>
      </c>
      <c r="AP5" s="8">
        <f t="shared" ref="AP5" si="17">AP3+AP4</f>
        <v>4112.7</v>
      </c>
      <c r="AQ5" s="8">
        <f t="shared" ref="AQ5" si="18">AQ3+AQ4</f>
        <v>4616.8979999999992</v>
      </c>
      <c r="AR5" s="8">
        <f t="shared" ref="AR5" si="19">AR3+AR4</f>
        <v>5041.2043799999992</v>
      </c>
      <c r="AS5" s="8">
        <f t="shared" ref="AS5" si="20">AS3+AS4</f>
        <v>5412.1017664000001</v>
      </c>
      <c r="AT5" s="8">
        <f t="shared" ref="AT5" si="21">AT3+AT4</f>
        <v>5710.1311260480006</v>
      </c>
      <c r="AU5" s="8">
        <f t="shared" ref="AU5" si="22">AU3+AU4</f>
        <v>5924.9210304585613</v>
      </c>
      <c r="AV5" s="8">
        <f t="shared" ref="AV5:AW5" si="23">AV3+AV4</f>
        <v>6095.7248376503239</v>
      </c>
      <c r="AW5" s="8">
        <f t="shared" si="23"/>
        <v>6210.5566342068969</v>
      </c>
      <c r="AX5" s="8">
        <f t="shared" ref="AX5:BA5" si="24">AX3+AX4</f>
        <v>6327.6142396926371</v>
      </c>
      <c r="AY5" s="8">
        <f t="shared" si="24"/>
        <v>6446.9414620161087</v>
      </c>
      <c r="AZ5" s="8">
        <f t="shared" si="24"/>
        <v>6568.5829781613456</v>
      </c>
      <c r="BA5" s="8">
        <f t="shared" si="24"/>
        <v>6692.5843514985354</v>
      </c>
    </row>
    <row r="6" spans="2:53" x14ac:dyDescent="0.3">
      <c r="B6" t="s">
        <v>38</v>
      </c>
      <c r="C6" s="5">
        <v>21.7</v>
      </c>
      <c r="D6" s="5">
        <v>27.3</v>
      </c>
      <c r="E6" s="5">
        <v>29.5</v>
      </c>
      <c r="F6" s="5">
        <v>42</v>
      </c>
      <c r="G6" s="5">
        <v>40.4</v>
      </c>
      <c r="H6" s="5">
        <v>58</v>
      </c>
      <c r="I6" s="5">
        <v>67.099999999999994</v>
      </c>
      <c r="J6" s="5">
        <v>97.2</v>
      </c>
      <c r="K6" s="5">
        <v>101.9</v>
      </c>
      <c r="L6" s="5">
        <v>106.3</v>
      </c>
      <c r="M6" s="5">
        <v>124.6</v>
      </c>
      <c r="N6" s="5">
        <v>170.3</v>
      </c>
      <c r="O6" s="5">
        <v>154.6</v>
      </c>
      <c r="P6" s="5">
        <v>187.3</v>
      </c>
      <c r="Q6" s="5">
        <v>204</v>
      </c>
      <c r="R6" s="5">
        <v>278</v>
      </c>
      <c r="S6" s="5">
        <v>267</v>
      </c>
      <c r="T6" s="5">
        <v>295.10000000000002</v>
      </c>
      <c r="U6" s="5">
        <v>295.60000000000002</v>
      </c>
      <c r="V6" s="5">
        <v>323.3</v>
      </c>
      <c r="W6" s="5">
        <v>300.60000000000002</v>
      </c>
      <c r="X6" s="5">
        <v>348</v>
      </c>
      <c r="Y6" s="5">
        <v>408.6</v>
      </c>
      <c r="Z6" s="5">
        <v>370.4</v>
      </c>
      <c r="AA6" s="5">
        <v>360.6</v>
      </c>
      <c r="AB6" s="5">
        <v>384.5</v>
      </c>
      <c r="AC6" s="5">
        <v>416.4</v>
      </c>
      <c r="AD6" s="5">
        <v>475.4</v>
      </c>
      <c r="AE6" s="5">
        <v>416.5</v>
      </c>
      <c r="AF6" s="5">
        <f>AF3*0.47</f>
        <v>445.5341499999999</v>
      </c>
      <c r="AG6" s="5">
        <f>AG3*0.46</f>
        <v>472.08235999999994</v>
      </c>
      <c r="AH6" s="5">
        <f>AH3*0.46</f>
        <v>523.86180000000013</v>
      </c>
      <c r="AJ6" s="5">
        <f>SUM(C6:F6)</f>
        <v>120.5</v>
      </c>
      <c r="AK6" s="5">
        <f>SUM(G6:J6)</f>
        <v>262.7</v>
      </c>
      <c r="AL6" s="5">
        <f>SUM(K6:N6)</f>
        <v>503.09999999999997</v>
      </c>
      <c r="AM6" s="5">
        <f>SUM(O6:R6)</f>
        <v>823.9</v>
      </c>
      <c r="AN6" s="5">
        <f>SUM(S6:V6)</f>
        <v>1181</v>
      </c>
      <c r="AO6" s="5">
        <f>SUM(W6:Z6)</f>
        <v>1427.6</v>
      </c>
      <c r="AP6" s="5">
        <f>SUM(AA6:AD6)</f>
        <v>1636.9</v>
      </c>
      <c r="AQ6" s="5">
        <f>SUM(AE6:AH6)</f>
        <v>1857.97831</v>
      </c>
      <c r="AR6" s="5">
        <f>AR3*0.45</f>
        <v>1976.9512949999998</v>
      </c>
      <c r="AS6" s="5">
        <f t="shared" ref="AS6:BA6" si="25">AS3*0.45</f>
        <v>2135.1073986000001</v>
      </c>
      <c r="AT6" s="5">
        <f t="shared" si="25"/>
        <v>2263.2138425160006</v>
      </c>
      <c r="AU6" s="5">
        <f t="shared" si="25"/>
        <v>2353.7423962166404</v>
      </c>
      <c r="AV6" s="5">
        <f t="shared" si="25"/>
        <v>2424.3546681031398</v>
      </c>
      <c r="AW6" s="5">
        <f t="shared" si="25"/>
        <v>2472.8417614652026</v>
      </c>
      <c r="AX6" s="5">
        <f t="shared" si="25"/>
        <v>2522.2985966945066</v>
      </c>
      <c r="AY6" s="5">
        <f t="shared" si="25"/>
        <v>2572.7445686283968</v>
      </c>
      <c r="AZ6" s="5">
        <f t="shared" si="25"/>
        <v>2624.1994600009648</v>
      </c>
      <c r="BA6" s="5">
        <f t="shared" si="25"/>
        <v>2676.6834492009839</v>
      </c>
    </row>
    <row r="7" spans="2:53" x14ac:dyDescent="0.3">
      <c r="B7" t="s">
        <v>23</v>
      </c>
      <c r="C7" s="7">
        <v>51.8</v>
      </c>
      <c r="D7" s="7">
        <v>51.7</v>
      </c>
      <c r="E7" s="7">
        <v>64.900000000000006</v>
      </c>
      <c r="F7" s="7">
        <v>121.4</v>
      </c>
      <c r="G7" s="7">
        <v>65.400000000000006</v>
      </c>
      <c r="H7" s="7">
        <v>77.900000000000006</v>
      </c>
      <c r="I7" s="7">
        <v>75.400000000000006</v>
      </c>
      <c r="J7" s="7">
        <v>152.30000000000001</v>
      </c>
      <c r="K7" s="7">
        <v>77.7</v>
      </c>
      <c r="L7" s="7">
        <v>102.9</v>
      </c>
      <c r="M7" s="5">
        <v>112.3</v>
      </c>
      <c r="N7" s="5">
        <v>174.1</v>
      </c>
      <c r="O7" s="5">
        <v>92.8</v>
      </c>
      <c r="P7" s="5">
        <v>119.5</v>
      </c>
      <c r="Q7" s="5">
        <v>112</v>
      </c>
      <c r="R7" s="5">
        <v>207.7</v>
      </c>
      <c r="S7" s="5">
        <v>101.9</v>
      </c>
      <c r="T7" s="5">
        <v>114.2</v>
      </c>
      <c r="U7" s="5">
        <v>109</v>
      </c>
      <c r="V7" s="5">
        <v>179.4</v>
      </c>
      <c r="W7" s="5">
        <v>102.8</v>
      </c>
      <c r="X7" s="5">
        <v>120.9</v>
      </c>
      <c r="Y7" s="5">
        <v>134.6</v>
      </c>
      <c r="Z7" s="5">
        <v>176.1</v>
      </c>
      <c r="AA7" s="5">
        <v>132.6</v>
      </c>
      <c r="AB7" s="5">
        <v>159</v>
      </c>
      <c r="AC7" s="5">
        <v>165.7</v>
      </c>
      <c r="AD7" s="5">
        <v>213.1</v>
      </c>
      <c r="AE7" s="5">
        <v>159.1</v>
      </c>
      <c r="AF7" s="5">
        <f t="shared" ref="AF7" si="26">AF4*1.07</f>
        <v>164.63662000000002</v>
      </c>
      <c r="AG7" s="5">
        <f>AG4*1.09</f>
        <v>172.89580000000001</v>
      </c>
      <c r="AH7" s="5">
        <f>AH4*1.2</f>
        <v>204.80519999999999</v>
      </c>
      <c r="AJ7" s="5">
        <f>SUM(C7:F7)</f>
        <v>289.8</v>
      </c>
      <c r="AK7" s="5">
        <f>SUM(G7:J7)</f>
        <v>371</v>
      </c>
      <c r="AL7" s="5">
        <f>SUM(K7:N7)</f>
        <v>467</v>
      </c>
      <c r="AM7" s="5">
        <f>SUM(O7:R7)</f>
        <v>532</v>
      </c>
      <c r="AN7" s="5">
        <f>SUM(S7:V7)</f>
        <v>504.5</v>
      </c>
      <c r="AO7" s="5">
        <f>SUM(W7:Z7)</f>
        <v>534.4</v>
      </c>
      <c r="AP7" s="5">
        <f>SUM(AA7:AD7)</f>
        <v>670.4</v>
      </c>
      <c r="AQ7" s="5">
        <f>SUM(AE7:AH7)</f>
        <v>701.43762000000004</v>
      </c>
      <c r="AR7" s="5">
        <f>AR4*1.05</f>
        <v>680.378244</v>
      </c>
      <c r="AS7" s="5">
        <f>AS4*1.01</f>
        <v>674.09284498400007</v>
      </c>
      <c r="AT7" s="5">
        <f>AT4*0.99</f>
        <v>673.95936125232004</v>
      </c>
      <c r="AU7" s="5">
        <f t="shared" ref="AU7:BA7" si="27">AU4*0.99</f>
        <v>687.43854847736645</v>
      </c>
      <c r="AV7" s="5">
        <f t="shared" si="27"/>
        <v>701.18731944691376</v>
      </c>
      <c r="AW7" s="5">
        <f t="shared" si="27"/>
        <v>708.19919264138298</v>
      </c>
      <c r="AX7" s="5">
        <f t="shared" si="27"/>
        <v>715.2811845677968</v>
      </c>
      <c r="AY7" s="5">
        <f t="shared" si="27"/>
        <v>722.43399641347469</v>
      </c>
      <c r="AZ7" s="5">
        <f t="shared" si="27"/>
        <v>729.65833637760954</v>
      </c>
      <c r="BA7" s="5">
        <f t="shared" si="27"/>
        <v>736.95491974138565</v>
      </c>
    </row>
    <row r="8" spans="2:53" x14ac:dyDescent="0.3">
      <c r="B8" t="s">
        <v>26</v>
      </c>
      <c r="C8" s="5">
        <f t="shared" ref="C8:L8" si="28">C6+C7</f>
        <v>73.5</v>
      </c>
      <c r="D8" s="5">
        <f t="shared" si="28"/>
        <v>79</v>
      </c>
      <c r="E8" s="5">
        <f t="shared" si="28"/>
        <v>94.4</v>
      </c>
      <c r="F8" s="5">
        <f t="shared" si="28"/>
        <v>163.4</v>
      </c>
      <c r="G8" s="5">
        <f t="shared" si="28"/>
        <v>105.80000000000001</v>
      </c>
      <c r="H8" s="5">
        <f t="shared" si="28"/>
        <v>135.9</v>
      </c>
      <c r="I8" s="5">
        <f t="shared" si="28"/>
        <v>142.5</v>
      </c>
      <c r="J8" s="5">
        <f t="shared" si="28"/>
        <v>249.5</v>
      </c>
      <c r="K8" s="5">
        <f t="shared" si="28"/>
        <v>179.60000000000002</v>
      </c>
      <c r="L8" s="5">
        <f t="shared" si="28"/>
        <v>209.2</v>
      </c>
      <c r="M8" s="5">
        <f t="shared" ref="M8:AL8" si="29">M6+M7</f>
        <v>236.89999999999998</v>
      </c>
      <c r="N8" s="5">
        <f t="shared" si="29"/>
        <v>344.4</v>
      </c>
      <c r="O8" s="5">
        <f t="shared" ref="O8:R8" si="30">O6+O7</f>
        <v>247.39999999999998</v>
      </c>
      <c r="P8" s="5">
        <f t="shared" ref="P8:Q8" si="31">P6+P7</f>
        <v>306.8</v>
      </c>
      <c r="Q8" s="5">
        <f t="shared" si="31"/>
        <v>316</v>
      </c>
      <c r="R8" s="5">
        <f t="shared" si="30"/>
        <v>485.7</v>
      </c>
      <c r="S8" s="5">
        <f t="shared" ref="S8:T8" si="32">S6+S7</f>
        <v>368.9</v>
      </c>
      <c r="T8" s="5">
        <f t="shared" si="32"/>
        <v>409.3</v>
      </c>
      <c r="U8" s="5">
        <f t="shared" ref="U8" si="33">U6+U7</f>
        <v>404.6</v>
      </c>
      <c r="V8" s="5">
        <f t="shared" ref="V8" si="34">V6+V7</f>
        <v>502.70000000000005</v>
      </c>
      <c r="W8" s="5">
        <f t="shared" ref="W8:X8" si="35">W6+W7</f>
        <v>403.40000000000003</v>
      </c>
      <c r="X8" s="5">
        <f t="shared" si="35"/>
        <v>468.9</v>
      </c>
      <c r="Y8" s="5">
        <f t="shared" ref="Y8" si="36">Y6+Y7</f>
        <v>543.20000000000005</v>
      </c>
      <c r="Z8" s="5">
        <f t="shared" ref="Z8:AA8" si="37">Z6+Z7</f>
        <v>546.5</v>
      </c>
      <c r="AA8" s="5">
        <f t="shared" si="37"/>
        <v>493.20000000000005</v>
      </c>
      <c r="AB8" s="5">
        <f t="shared" ref="AB8:AD8" si="38">AB6+AB7</f>
        <v>543.5</v>
      </c>
      <c r="AC8" s="5">
        <f t="shared" si="38"/>
        <v>582.09999999999991</v>
      </c>
      <c r="AD8" s="5">
        <f t="shared" si="38"/>
        <v>688.5</v>
      </c>
      <c r="AE8" s="5">
        <f t="shared" ref="AE8:AH8" si="39">AE6+AE7</f>
        <v>575.6</v>
      </c>
      <c r="AF8" s="5">
        <f t="shared" si="39"/>
        <v>610.17076999999995</v>
      </c>
      <c r="AG8" s="5">
        <f t="shared" si="39"/>
        <v>644.97815999999989</v>
      </c>
      <c r="AH8" s="5">
        <f t="shared" si="39"/>
        <v>728.66700000000014</v>
      </c>
      <c r="AJ8" s="5">
        <f t="shared" si="29"/>
        <v>410.3</v>
      </c>
      <c r="AK8" s="5">
        <f t="shared" si="29"/>
        <v>633.70000000000005</v>
      </c>
      <c r="AL8" s="5">
        <f t="shared" si="29"/>
        <v>970.09999999999991</v>
      </c>
      <c r="AM8" s="5">
        <f t="shared" ref="AM8" si="40">AM6+AM7</f>
        <v>1355.9</v>
      </c>
      <c r="AN8" s="5">
        <f t="shared" ref="AN8" si="41">AN6+AN7</f>
        <v>1685.5</v>
      </c>
      <c r="AO8" s="5">
        <f t="shared" ref="AO8" si="42">AO6+AO7</f>
        <v>1962</v>
      </c>
      <c r="AP8" s="5">
        <f t="shared" ref="AP8" si="43">AP6+AP7</f>
        <v>2307.3000000000002</v>
      </c>
      <c r="AQ8" s="5">
        <f t="shared" ref="AQ8" si="44">AQ6+AQ7</f>
        <v>2559.4159300000001</v>
      </c>
      <c r="AR8" s="5">
        <f t="shared" ref="AR8" si="45">AR6+AR7</f>
        <v>2657.3295389999998</v>
      </c>
      <c r="AS8" s="5">
        <f t="shared" ref="AS8" si="46">AS6+AS7</f>
        <v>2809.2002435840004</v>
      </c>
      <c r="AT8" s="5">
        <f t="shared" ref="AT8" si="47">AT6+AT7</f>
        <v>2937.1732037683205</v>
      </c>
      <c r="AU8" s="5">
        <f t="shared" ref="AU8" si="48">AU6+AU7</f>
        <v>3041.1809446940069</v>
      </c>
      <c r="AV8" s="5">
        <f t="shared" ref="AV8:AW8" si="49">AV6+AV7</f>
        <v>3125.5419875500538</v>
      </c>
      <c r="AW8" s="5">
        <f t="shared" si="49"/>
        <v>3181.0409541065856</v>
      </c>
      <c r="AX8" s="5">
        <f t="shared" ref="AX8:BA8" si="50">AX6+AX7</f>
        <v>3237.5797812623032</v>
      </c>
      <c r="AY8" s="5">
        <f t="shared" si="50"/>
        <v>3295.1785650418715</v>
      </c>
      <c r="AZ8" s="5">
        <f t="shared" si="50"/>
        <v>3353.8577963785742</v>
      </c>
      <c r="BA8" s="5">
        <f t="shared" si="50"/>
        <v>3413.6383689423697</v>
      </c>
    </row>
    <row r="9" spans="2:53" s="1" customFormat="1" x14ac:dyDescent="0.3">
      <c r="B9" s="1" t="s">
        <v>27</v>
      </c>
      <c r="C9" s="8">
        <f t="shared" ref="C9:L9" si="51">C5-C8</f>
        <v>63.099999999999994</v>
      </c>
      <c r="D9" s="8">
        <f t="shared" si="51"/>
        <v>77.800000000000011</v>
      </c>
      <c r="E9" s="8">
        <f t="shared" si="51"/>
        <v>78.999999999999972</v>
      </c>
      <c r="F9" s="8">
        <f t="shared" si="51"/>
        <v>112.29999999999998</v>
      </c>
      <c r="G9" s="8">
        <f t="shared" si="51"/>
        <v>100.89999999999998</v>
      </c>
      <c r="H9" s="8">
        <f t="shared" si="51"/>
        <v>114.19999999999999</v>
      </c>
      <c r="I9" s="8">
        <f t="shared" si="51"/>
        <v>118.39999999999998</v>
      </c>
      <c r="J9" s="8">
        <f t="shared" si="51"/>
        <v>161.70000000000005</v>
      </c>
      <c r="K9" s="8">
        <f t="shared" si="51"/>
        <v>141.19999999999999</v>
      </c>
      <c r="L9" s="8">
        <f t="shared" si="51"/>
        <v>146.90000000000003</v>
      </c>
      <c r="M9" s="8">
        <f t="shared" ref="M9:AL9" si="52">M5-M8</f>
        <v>214.70000000000005</v>
      </c>
      <c r="N9" s="8">
        <f t="shared" si="52"/>
        <v>305.5</v>
      </c>
      <c r="O9" s="8">
        <f t="shared" ref="O9:R9" si="53">O5-O8</f>
        <v>326.80000000000007</v>
      </c>
      <c r="P9" s="8">
        <f t="shared" ref="P9:Q9" si="54">P5-P8</f>
        <v>338.2999999999999</v>
      </c>
      <c r="Q9" s="8">
        <f t="shared" si="54"/>
        <v>363.9</v>
      </c>
      <c r="R9" s="8">
        <f t="shared" si="53"/>
        <v>379.59999999999997</v>
      </c>
      <c r="S9" s="8">
        <f t="shared" ref="S9:T9" si="55">S5-S8</f>
        <v>364.79999999999995</v>
      </c>
      <c r="T9" s="8">
        <f t="shared" si="55"/>
        <v>355.2</v>
      </c>
      <c r="U9" s="8">
        <f t="shared" ref="U9" si="56">U5-U8</f>
        <v>356.80000000000007</v>
      </c>
      <c r="V9" s="8">
        <f t="shared" ref="V9" si="57">V5-V8</f>
        <v>364.39999999999986</v>
      </c>
      <c r="W9" s="8">
        <f t="shared" ref="W9:X9" si="58">W5-W8</f>
        <v>337.59999999999997</v>
      </c>
      <c r="X9" s="8">
        <f t="shared" si="58"/>
        <v>378.4</v>
      </c>
      <c r="Y9" s="8">
        <f t="shared" ref="Y9" si="59">Y5-Y8</f>
        <v>368.79999999999995</v>
      </c>
      <c r="Z9" s="8">
        <f t="shared" ref="Z9:AA9" si="60">Z5-Z8</f>
        <v>438</v>
      </c>
      <c r="AA9" s="8">
        <f t="shared" si="60"/>
        <v>388.19999999999993</v>
      </c>
      <c r="AB9" s="8">
        <f t="shared" ref="AB9:AD9" si="61">AB5-AB8</f>
        <v>424.59999999999991</v>
      </c>
      <c r="AC9" s="8">
        <f t="shared" si="61"/>
        <v>480.10000000000014</v>
      </c>
      <c r="AD9" s="8">
        <f t="shared" si="61"/>
        <v>512.5</v>
      </c>
      <c r="AE9" s="8">
        <f t="shared" ref="AE9:AH9" si="62">AE5-AE8</f>
        <v>445.09999999999991</v>
      </c>
      <c r="AF9" s="8">
        <f t="shared" si="62"/>
        <v>491.64022999999997</v>
      </c>
      <c r="AG9" s="8">
        <f t="shared" si="62"/>
        <v>539.90784000000008</v>
      </c>
      <c r="AH9" s="8">
        <f t="shared" si="62"/>
        <v>580.83400000000006</v>
      </c>
      <c r="AJ9" s="8">
        <f t="shared" si="52"/>
        <v>332.2</v>
      </c>
      <c r="AK9" s="8">
        <f t="shared" si="52"/>
        <v>495.20000000000005</v>
      </c>
      <c r="AL9" s="8">
        <f t="shared" si="52"/>
        <v>808.3</v>
      </c>
      <c r="AM9" s="8">
        <f t="shared" ref="AM9" si="63">AM5-AM8</f>
        <v>1408.6</v>
      </c>
      <c r="AN9" s="8">
        <f t="shared" ref="AN9" si="64">AN5-AN8</f>
        <v>1441.1999999999998</v>
      </c>
      <c r="AO9" s="8">
        <f t="shared" ref="AO9" si="65">AO5-AO8</f>
        <v>1522.8000000000002</v>
      </c>
      <c r="AP9" s="8">
        <f t="shared" ref="AP9" si="66">AP5-AP8</f>
        <v>1805.3999999999996</v>
      </c>
      <c r="AQ9" s="8">
        <f t="shared" ref="AQ9" si="67">AQ5-AQ8</f>
        <v>2057.4820699999991</v>
      </c>
      <c r="AR9" s="8">
        <f t="shared" ref="AR9" si="68">AR5-AR8</f>
        <v>2383.8748409999994</v>
      </c>
      <c r="AS9" s="8">
        <f t="shared" ref="AS9" si="69">AS5-AS8</f>
        <v>2602.9015228159997</v>
      </c>
      <c r="AT9" s="8">
        <f t="shared" ref="AT9" si="70">AT5-AT8</f>
        <v>2772.9579222796801</v>
      </c>
      <c r="AU9" s="8">
        <f t="shared" ref="AU9" si="71">AU5-AU8</f>
        <v>2883.7400857645544</v>
      </c>
      <c r="AV9" s="8">
        <f t="shared" ref="AV9:AW9" si="72">AV5-AV8</f>
        <v>2970.1828501002701</v>
      </c>
      <c r="AW9" s="8">
        <f t="shared" si="72"/>
        <v>3029.5156801003113</v>
      </c>
      <c r="AX9" s="8">
        <f t="shared" ref="AX9:BA9" si="73">AX5-AX8</f>
        <v>3090.0344584303339</v>
      </c>
      <c r="AY9" s="8">
        <f t="shared" si="73"/>
        <v>3151.7628969742373</v>
      </c>
      <c r="AZ9" s="8">
        <f t="shared" si="73"/>
        <v>3214.7251817827714</v>
      </c>
      <c r="BA9" s="8">
        <f t="shared" si="73"/>
        <v>3278.9459825561657</v>
      </c>
    </row>
    <row r="10" spans="2:53" x14ac:dyDescent="0.3">
      <c r="B10" t="s">
        <v>28</v>
      </c>
      <c r="C10" s="5">
        <v>34.1</v>
      </c>
      <c r="D10" s="5">
        <v>40.200000000000003</v>
      </c>
      <c r="E10" s="5">
        <v>45.4</v>
      </c>
      <c r="F10" s="5">
        <v>51</v>
      </c>
      <c r="G10" s="5">
        <v>55.7</v>
      </c>
      <c r="H10" s="5">
        <v>62</v>
      </c>
      <c r="I10" s="5">
        <v>68.5</v>
      </c>
      <c r="J10" s="5">
        <v>78.8</v>
      </c>
      <c r="K10" s="5">
        <v>88.3</v>
      </c>
      <c r="L10" s="5">
        <v>84.4</v>
      </c>
      <c r="M10" s="5">
        <v>88.4</v>
      </c>
      <c r="N10" s="5">
        <v>94.7</v>
      </c>
      <c r="O10" s="5">
        <v>101.6</v>
      </c>
      <c r="P10" s="5">
        <v>113.3</v>
      </c>
      <c r="Q10" s="5">
        <v>120.3</v>
      </c>
      <c r="R10" s="5">
        <v>126.4</v>
      </c>
      <c r="S10" s="5">
        <v>164</v>
      </c>
      <c r="T10" s="5">
        <v>196.6</v>
      </c>
      <c r="U10" s="5">
        <v>207.6</v>
      </c>
      <c r="V10" s="5">
        <v>220.7</v>
      </c>
      <c r="W10" s="5">
        <v>220.1</v>
      </c>
      <c r="X10" s="5">
        <v>192.4</v>
      </c>
      <c r="Y10" s="5">
        <v>282.2</v>
      </c>
      <c r="Z10" s="5">
        <v>183.8</v>
      </c>
      <c r="AA10" s="5">
        <v>180.4</v>
      </c>
      <c r="AB10" s="5">
        <v>175.5</v>
      </c>
      <c r="AC10" s="5">
        <v>178.8</v>
      </c>
      <c r="AD10" s="5">
        <v>185.4</v>
      </c>
      <c r="AE10" s="5">
        <v>184.6</v>
      </c>
      <c r="AF10" s="5">
        <f>AB10*1.07</f>
        <v>187.78500000000003</v>
      </c>
      <c r="AG10" s="5">
        <f>AC10*1.06</f>
        <v>189.52800000000002</v>
      </c>
      <c r="AH10" s="5">
        <f t="shared" ref="AH10" si="74">AD10*1.03</f>
        <v>190.96200000000002</v>
      </c>
      <c r="AJ10" s="5">
        <f>SUM(C10:F10)</f>
        <v>170.70000000000002</v>
      </c>
      <c r="AK10" s="5">
        <f>SUM(G10:J10)</f>
        <v>265</v>
      </c>
      <c r="AL10" s="5">
        <f>SUM(K10:N10)</f>
        <v>355.8</v>
      </c>
      <c r="AM10" s="5">
        <f>SUM(O10:R10)</f>
        <v>461.6</v>
      </c>
      <c r="AN10" s="5">
        <f>SUM(S10:V10)</f>
        <v>788.90000000000009</v>
      </c>
      <c r="AO10" s="5">
        <f>SUM(W10:Z10)</f>
        <v>878.5</v>
      </c>
      <c r="AP10" s="5">
        <f>SUM(AA10:AD10)</f>
        <v>720.1</v>
      </c>
      <c r="AQ10" s="5">
        <f>SUM(AE10:AH10)</f>
        <v>752.875</v>
      </c>
      <c r="AR10" s="5">
        <f>AQ10*1.02</f>
        <v>767.9325</v>
      </c>
      <c r="AS10" s="5">
        <f>AR10*1.01</f>
        <v>775.61182500000007</v>
      </c>
      <c r="AT10" s="5">
        <f t="shared" ref="AT10:BA10" si="75">AS10*1.01</f>
        <v>783.36794325000005</v>
      </c>
      <c r="AU10" s="5">
        <f t="shared" si="75"/>
        <v>791.2016226825001</v>
      </c>
      <c r="AV10" s="5">
        <f t="shared" si="75"/>
        <v>799.11363890932512</v>
      </c>
      <c r="AW10" s="5">
        <f t="shared" si="75"/>
        <v>807.10477529841842</v>
      </c>
      <c r="AX10" s="5">
        <f t="shared" si="75"/>
        <v>815.17582305140263</v>
      </c>
      <c r="AY10" s="5">
        <f t="shared" si="75"/>
        <v>823.32758128191665</v>
      </c>
      <c r="AZ10" s="5">
        <f t="shared" si="75"/>
        <v>831.56085709473587</v>
      </c>
      <c r="BA10" s="5">
        <f t="shared" si="75"/>
        <v>839.87646566568321</v>
      </c>
    </row>
    <row r="11" spans="2:53" x14ac:dyDescent="0.3">
      <c r="B11" t="s">
        <v>29</v>
      </c>
      <c r="C11" s="5">
        <v>20.3</v>
      </c>
      <c r="D11" s="5">
        <v>22.3</v>
      </c>
      <c r="E11" s="5">
        <v>25.6</v>
      </c>
      <c r="F11" s="5">
        <v>34.6</v>
      </c>
      <c r="G11" s="5">
        <v>33.799999999999997</v>
      </c>
      <c r="H11" s="5">
        <v>36.6</v>
      </c>
      <c r="I11" s="5">
        <v>46.7</v>
      </c>
      <c r="J11" s="5">
        <v>61.8</v>
      </c>
      <c r="K11" s="5">
        <v>68.2</v>
      </c>
      <c r="L11" s="5">
        <v>64.2</v>
      </c>
      <c r="M11" s="5">
        <v>71</v>
      </c>
      <c r="N11" s="5">
        <v>96.1</v>
      </c>
      <c r="O11" s="5">
        <v>88.9</v>
      </c>
      <c r="P11" s="5">
        <v>93.7</v>
      </c>
      <c r="Q11" s="5">
        <v>109.7</v>
      </c>
      <c r="R11" s="5">
        <v>163.4</v>
      </c>
      <c r="S11" s="5">
        <v>146.5</v>
      </c>
      <c r="T11" s="5">
        <v>185</v>
      </c>
      <c r="U11" s="5">
        <v>209.4</v>
      </c>
      <c r="V11" s="5">
        <v>297.60000000000002</v>
      </c>
      <c r="W11" s="5">
        <v>233.9</v>
      </c>
      <c r="X11" s="5">
        <v>227.2</v>
      </c>
      <c r="Y11" s="5">
        <v>307.7</v>
      </c>
      <c r="Z11" s="5">
        <v>264.60000000000002</v>
      </c>
      <c r="AA11" s="5">
        <v>202.1</v>
      </c>
      <c r="AB11" s="5">
        <v>221.7</v>
      </c>
      <c r="AC11" s="5">
        <v>237</v>
      </c>
      <c r="AD11" s="5">
        <v>271.89999999999998</v>
      </c>
      <c r="AE11" s="5">
        <v>223.7</v>
      </c>
      <c r="AF11" s="5">
        <f t="shared" ref="AF11:AH11" si="76">AF5*0.22</f>
        <v>242.39841999999999</v>
      </c>
      <c r="AG11" s="5">
        <f t="shared" si="76"/>
        <v>260.67491999999999</v>
      </c>
      <c r="AH11" s="5">
        <f t="shared" si="76"/>
        <v>288.09022000000004</v>
      </c>
      <c r="AJ11" s="5">
        <f>SUM(C11:F11)</f>
        <v>102.80000000000001</v>
      </c>
      <c r="AK11" s="5">
        <f>SUM(G11:J11)</f>
        <v>178.9</v>
      </c>
      <c r="AL11" s="5">
        <f>SUM(K11:N11)</f>
        <v>299.5</v>
      </c>
      <c r="AM11" s="5">
        <f>SUM(O11:R11)</f>
        <v>455.70000000000005</v>
      </c>
      <c r="AN11" s="5">
        <f>SUM(S11:V11)</f>
        <v>838.5</v>
      </c>
      <c r="AO11" s="5">
        <f>SUM(W11:Z11)</f>
        <v>1033.4000000000001</v>
      </c>
      <c r="AP11" s="5">
        <f>SUM(AA11:AD11)</f>
        <v>932.69999999999993</v>
      </c>
      <c r="AQ11" s="5">
        <f>SUM(AE11:AH11)</f>
        <v>1014.86356</v>
      </c>
      <c r="AR11" s="5">
        <f>AR5*0.21</f>
        <v>1058.6529197999998</v>
      </c>
      <c r="AS11" s="5">
        <f>AS5*0.2</f>
        <v>1082.42035328</v>
      </c>
      <c r="AT11" s="5">
        <f>AT5*0.19</f>
        <v>1084.9249139491201</v>
      </c>
      <c r="AU11" s="5">
        <f t="shared" ref="AU11:BA11" si="77">AU5*0.19</f>
        <v>1125.7349957871268</v>
      </c>
      <c r="AV11" s="5">
        <f t="shared" si="77"/>
        <v>1158.1877191535616</v>
      </c>
      <c r="AW11" s="5">
        <f t="shared" si="77"/>
        <v>1180.0057604993103</v>
      </c>
      <c r="AX11" s="5">
        <f t="shared" si="77"/>
        <v>1202.2467055416012</v>
      </c>
      <c r="AY11" s="5">
        <f t="shared" si="77"/>
        <v>1224.9188777830607</v>
      </c>
      <c r="AZ11" s="5">
        <f t="shared" si="77"/>
        <v>1248.0307658506556</v>
      </c>
      <c r="BA11" s="5">
        <f t="shared" si="77"/>
        <v>1271.5910267847216</v>
      </c>
    </row>
    <row r="12" spans="2:53" x14ac:dyDescent="0.3">
      <c r="B12" t="s">
        <v>30</v>
      </c>
      <c r="C12" s="5">
        <v>15.6</v>
      </c>
      <c r="D12" s="5">
        <v>15.4</v>
      </c>
      <c r="E12" s="5">
        <v>19.8</v>
      </c>
      <c r="F12" s="5">
        <v>21.2</v>
      </c>
      <c r="G12" s="5">
        <v>22.1</v>
      </c>
      <c r="H12" s="5">
        <v>26</v>
      </c>
      <c r="I12" s="5">
        <v>29.9</v>
      </c>
      <c r="J12" s="5">
        <v>38.4</v>
      </c>
      <c r="K12" s="5">
        <v>39.700000000000003</v>
      </c>
      <c r="L12" s="5">
        <v>40.5</v>
      </c>
      <c r="M12" s="5">
        <v>43.5</v>
      </c>
      <c r="N12" s="5">
        <v>49.5</v>
      </c>
      <c r="O12" s="5">
        <v>60.5</v>
      </c>
      <c r="P12" s="5">
        <v>62.2</v>
      </c>
      <c r="Q12" s="5">
        <v>65.099999999999994</v>
      </c>
      <c r="R12" s="5">
        <v>68.5</v>
      </c>
      <c r="S12" s="5">
        <v>77.8</v>
      </c>
      <c r="T12" s="5">
        <v>84.1</v>
      </c>
      <c r="U12" s="5">
        <v>86.8</v>
      </c>
      <c r="V12" s="5">
        <v>96</v>
      </c>
      <c r="W12" s="5">
        <v>96.1</v>
      </c>
      <c r="X12" s="5">
        <v>84.7</v>
      </c>
      <c r="Y12" s="5">
        <v>128.69999999999999</v>
      </c>
      <c r="Z12" s="5">
        <v>93.7</v>
      </c>
      <c r="AA12" s="5">
        <v>77.7</v>
      </c>
      <c r="AB12" s="5">
        <v>98.8</v>
      </c>
      <c r="AC12" s="5">
        <v>100</v>
      </c>
      <c r="AD12" s="5">
        <v>94.4</v>
      </c>
      <c r="AE12" s="5">
        <v>94.5</v>
      </c>
      <c r="AF12" s="5">
        <f t="shared" ref="AF12:AH12" si="78">AB12*1.03</f>
        <v>101.764</v>
      </c>
      <c r="AG12" s="5">
        <f t="shared" si="78"/>
        <v>103</v>
      </c>
      <c r="AH12" s="5">
        <f t="shared" si="78"/>
        <v>97.232000000000014</v>
      </c>
      <c r="AI12" s="9"/>
      <c r="AJ12" s="5">
        <f>SUM(C12:F12)</f>
        <v>72</v>
      </c>
      <c r="AK12" s="5">
        <f>SUM(G12:J12)</f>
        <v>116.4</v>
      </c>
      <c r="AL12" s="5">
        <f>SUM(K12:N12)</f>
        <v>173.2</v>
      </c>
      <c r="AM12" s="5">
        <f>SUM(O12:R12)</f>
        <v>256.3</v>
      </c>
      <c r="AN12" s="5">
        <f>SUM(S12:V12)</f>
        <v>344.7</v>
      </c>
      <c r="AO12" s="5">
        <f>SUM(W12:Z12)</f>
        <v>403.2</v>
      </c>
      <c r="AP12" s="5">
        <f>SUM(AA12:AD12)</f>
        <v>370.9</v>
      </c>
      <c r="AQ12" s="5">
        <f>SUM(AE12:AH12)</f>
        <v>396.49600000000004</v>
      </c>
      <c r="AR12" s="5">
        <f t="shared" ref="AR12:BA12" si="79">AQ12*1.02</f>
        <v>404.42592000000002</v>
      </c>
      <c r="AS12" s="5">
        <f t="shared" si="79"/>
        <v>412.51443840000002</v>
      </c>
      <c r="AT12" s="5">
        <f t="shared" si="79"/>
        <v>420.76472716800004</v>
      </c>
      <c r="AU12" s="5">
        <f t="shared" si="79"/>
        <v>429.18002171136004</v>
      </c>
      <c r="AV12" s="5">
        <f t="shared" si="79"/>
        <v>437.76362214558725</v>
      </c>
      <c r="AW12" s="5">
        <f t="shared" si="79"/>
        <v>446.51889458849899</v>
      </c>
      <c r="AX12" s="5">
        <f t="shared" si="79"/>
        <v>455.44927248026897</v>
      </c>
      <c r="AY12" s="5">
        <f t="shared" si="79"/>
        <v>464.55825792987434</v>
      </c>
      <c r="AZ12" s="5">
        <f t="shared" si="79"/>
        <v>473.84942308847184</v>
      </c>
      <c r="BA12" s="5">
        <f t="shared" si="79"/>
        <v>483.32641155024129</v>
      </c>
    </row>
    <row r="13" spans="2:53" x14ac:dyDescent="0.3">
      <c r="B13" t="s">
        <v>31</v>
      </c>
      <c r="C13" s="5">
        <f t="shared" ref="C13:L13" si="80">C10+C11+C12</f>
        <v>70</v>
      </c>
      <c r="D13" s="5">
        <f t="shared" si="80"/>
        <v>77.900000000000006</v>
      </c>
      <c r="E13" s="5">
        <f t="shared" si="80"/>
        <v>90.8</v>
      </c>
      <c r="F13" s="5">
        <f t="shared" si="80"/>
        <v>106.8</v>
      </c>
      <c r="G13" s="5">
        <f t="shared" si="80"/>
        <v>111.6</v>
      </c>
      <c r="H13" s="5">
        <f t="shared" si="80"/>
        <v>124.6</v>
      </c>
      <c r="I13" s="5">
        <f t="shared" si="80"/>
        <v>145.1</v>
      </c>
      <c r="J13" s="5">
        <f t="shared" si="80"/>
        <v>179</v>
      </c>
      <c r="K13" s="5">
        <f t="shared" si="80"/>
        <v>196.2</v>
      </c>
      <c r="L13" s="5">
        <f t="shared" si="80"/>
        <v>189.10000000000002</v>
      </c>
      <c r="M13" s="5">
        <f t="shared" ref="M13:AL13" si="81">M10+M11+M12</f>
        <v>202.9</v>
      </c>
      <c r="N13" s="5">
        <f t="shared" si="81"/>
        <v>240.3</v>
      </c>
      <c r="O13" s="5">
        <f t="shared" si="81"/>
        <v>251</v>
      </c>
      <c r="P13" s="5">
        <f t="shared" ref="P13:Q13" si="82">P10+P11+P12</f>
        <v>269.2</v>
      </c>
      <c r="Q13" s="5">
        <f t="shared" si="82"/>
        <v>295.10000000000002</v>
      </c>
      <c r="R13" s="5">
        <f t="shared" si="81"/>
        <v>358.3</v>
      </c>
      <c r="S13" s="5">
        <f t="shared" ref="S13:T13" si="83">S10+S11+S12</f>
        <v>388.3</v>
      </c>
      <c r="T13" s="5">
        <f t="shared" si="83"/>
        <v>465.70000000000005</v>
      </c>
      <c r="U13" s="5">
        <f t="shared" ref="U13" si="84">U10+U11+U12</f>
        <v>503.8</v>
      </c>
      <c r="V13" s="5">
        <f t="shared" ref="V13" si="85">V10+V11+V12</f>
        <v>614.29999999999995</v>
      </c>
      <c r="W13" s="5">
        <f t="shared" ref="W13:X13" si="86">W10+W11+W12</f>
        <v>550.1</v>
      </c>
      <c r="X13" s="5">
        <f t="shared" si="86"/>
        <v>504.3</v>
      </c>
      <c r="Y13" s="5">
        <f t="shared" ref="Y13" si="87">Y10+Y11+Y12</f>
        <v>718.59999999999991</v>
      </c>
      <c r="Z13" s="5">
        <f t="shared" ref="Z13:AA13" si="88">Z10+Z11+Z12</f>
        <v>542.1</v>
      </c>
      <c r="AA13" s="5">
        <f t="shared" si="88"/>
        <v>460.2</v>
      </c>
      <c r="AB13" s="5">
        <f t="shared" ref="AB13:AD13" si="89">AB10+AB11+AB12</f>
        <v>496</v>
      </c>
      <c r="AC13" s="5">
        <f t="shared" si="89"/>
        <v>515.79999999999995</v>
      </c>
      <c r="AD13" s="5">
        <f t="shared" si="89"/>
        <v>551.69999999999993</v>
      </c>
      <c r="AE13" s="5">
        <f t="shared" ref="AE13:AH13" si="90">AE10+AE11+AE12</f>
        <v>502.79999999999995</v>
      </c>
      <c r="AF13" s="5">
        <f t="shared" si="90"/>
        <v>531.94741999999997</v>
      </c>
      <c r="AG13" s="5">
        <f t="shared" si="90"/>
        <v>553.20291999999995</v>
      </c>
      <c r="AH13" s="5">
        <f t="shared" si="90"/>
        <v>576.28422</v>
      </c>
      <c r="AJ13" s="5">
        <f t="shared" si="81"/>
        <v>345.5</v>
      </c>
      <c r="AK13" s="5">
        <f t="shared" si="81"/>
        <v>560.29999999999995</v>
      </c>
      <c r="AL13" s="5">
        <f t="shared" si="81"/>
        <v>828.5</v>
      </c>
      <c r="AM13" s="5">
        <f t="shared" ref="AM13" si="91">AM10+AM11+AM12</f>
        <v>1173.6000000000001</v>
      </c>
      <c r="AN13" s="5">
        <f t="shared" ref="AN13" si="92">AN10+AN11+AN12</f>
        <v>1972.1000000000001</v>
      </c>
      <c r="AO13" s="5">
        <f t="shared" ref="AO13" si="93">AO10+AO11+AO12</f>
        <v>2315.1</v>
      </c>
      <c r="AP13" s="5">
        <f t="shared" ref="AP13" si="94">AP10+AP11+AP12</f>
        <v>2023.6999999999998</v>
      </c>
      <c r="AQ13" s="5">
        <f t="shared" ref="AQ13" si="95">AQ10+AQ11+AQ12</f>
        <v>2164.2345599999999</v>
      </c>
      <c r="AR13" s="5">
        <f t="shared" ref="AR13" si="96">AR10+AR11+AR12</f>
        <v>2231.0113397999999</v>
      </c>
      <c r="AS13" s="5">
        <f t="shared" ref="AS13" si="97">AS10+AS11+AS12</f>
        <v>2270.5466166800002</v>
      </c>
      <c r="AT13" s="5">
        <f t="shared" ref="AT13" si="98">AT10+AT11+AT12</f>
        <v>2289.0575843671204</v>
      </c>
      <c r="AU13" s="5">
        <f t="shared" ref="AU13" si="99">AU10+AU11+AU12</f>
        <v>2346.1166401809869</v>
      </c>
      <c r="AV13" s="5">
        <f t="shared" ref="AV13:AW13" si="100">AV10+AV11+AV12</f>
        <v>2395.064980208474</v>
      </c>
      <c r="AW13" s="5">
        <f t="shared" si="100"/>
        <v>2433.6294303862278</v>
      </c>
      <c r="AX13" s="5">
        <f t="shared" ref="AX13:BA13" si="101">AX10+AX11+AX12</f>
        <v>2472.8718010732728</v>
      </c>
      <c r="AY13" s="5">
        <f t="shared" si="101"/>
        <v>2512.8047169948518</v>
      </c>
      <c r="AZ13" s="5">
        <f t="shared" si="101"/>
        <v>2553.4410460338631</v>
      </c>
      <c r="BA13" s="5">
        <f t="shared" si="101"/>
        <v>2594.7939040006459</v>
      </c>
    </row>
    <row r="14" spans="2:53" s="1" customFormat="1" x14ac:dyDescent="0.3">
      <c r="B14" s="1" t="s">
        <v>32</v>
      </c>
      <c r="C14" s="8">
        <f t="shared" ref="C14:L14" si="102">C9-C13</f>
        <v>-6.9000000000000057</v>
      </c>
      <c r="D14" s="8">
        <f t="shared" si="102"/>
        <v>-9.9999999999994316E-2</v>
      </c>
      <c r="E14" s="8">
        <f t="shared" si="102"/>
        <v>-11.800000000000026</v>
      </c>
      <c r="F14" s="8">
        <f t="shared" si="102"/>
        <v>5.4999999999999858</v>
      </c>
      <c r="G14" s="8">
        <f t="shared" si="102"/>
        <v>-10.700000000000017</v>
      </c>
      <c r="H14" s="8">
        <f t="shared" si="102"/>
        <v>-10.400000000000006</v>
      </c>
      <c r="I14" s="8">
        <f t="shared" si="102"/>
        <v>-26.700000000000017</v>
      </c>
      <c r="J14" s="8">
        <f t="shared" si="102"/>
        <v>-17.299999999999955</v>
      </c>
      <c r="K14" s="8">
        <f t="shared" si="102"/>
        <v>-55</v>
      </c>
      <c r="L14" s="8">
        <f t="shared" si="102"/>
        <v>-42.199999999999989</v>
      </c>
      <c r="M14" s="8">
        <f t="shared" ref="M14:AL14" si="103">M9-M13</f>
        <v>11.80000000000004</v>
      </c>
      <c r="N14" s="8">
        <f t="shared" si="103"/>
        <v>65.199999999999989</v>
      </c>
      <c r="O14" s="8">
        <f t="shared" si="103"/>
        <v>75.800000000000068</v>
      </c>
      <c r="P14" s="8">
        <f t="shared" ref="P14:Q14" si="104">P9-P13</f>
        <v>69.099999999999909</v>
      </c>
      <c r="Q14" s="8">
        <f t="shared" si="104"/>
        <v>68.799999999999955</v>
      </c>
      <c r="R14" s="8">
        <f t="shared" si="103"/>
        <v>21.299999999999955</v>
      </c>
      <c r="S14" s="8">
        <f t="shared" ref="S14:T14" si="105">S9-S13</f>
        <v>-23.500000000000057</v>
      </c>
      <c r="T14" s="8">
        <f t="shared" si="105"/>
        <v>-110.50000000000006</v>
      </c>
      <c r="U14" s="8">
        <f t="shared" ref="U14" si="106">U9-U13</f>
        <v>-146.99999999999994</v>
      </c>
      <c r="V14" s="8">
        <f t="shared" ref="V14" si="107">V9-V13</f>
        <v>-249.90000000000009</v>
      </c>
      <c r="W14" s="8">
        <f t="shared" ref="W14:X14" si="108">W9-W13</f>
        <v>-212.50000000000006</v>
      </c>
      <c r="X14" s="8">
        <f t="shared" si="108"/>
        <v>-125.90000000000003</v>
      </c>
      <c r="Y14" s="8">
        <f t="shared" ref="Y14" si="109">Y9-Y13</f>
        <v>-349.79999999999995</v>
      </c>
      <c r="Z14" s="8">
        <f t="shared" ref="Z14:AA14" si="110">Z9-Z13</f>
        <v>-104.10000000000002</v>
      </c>
      <c r="AA14" s="8">
        <f t="shared" si="110"/>
        <v>-72.000000000000057</v>
      </c>
      <c r="AB14" s="8">
        <f t="shared" ref="AB14:AD14" si="111">AB9-AB13</f>
        <v>-71.400000000000091</v>
      </c>
      <c r="AC14" s="8">
        <f t="shared" si="111"/>
        <v>-35.699999999999818</v>
      </c>
      <c r="AD14" s="8">
        <f t="shared" si="111"/>
        <v>-39.199999999999932</v>
      </c>
      <c r="AE14" s="8">
        <f t="shared" ref="AE14:AH14" si="112">AE9-AE13</f>
        <v>-57.700000000000045</v>
      </c>
      <c r="AF14" s="8">
        <f t="shared" si="112"/>
        <v>-40.307189999999991</v>
      </c>
      <c r="AG14" s="8">
        <f t="shared" si="112"/>
        <v>-13.295079999999871</v>
      </c>
      <c r="AH14" s="8">
        <f t="shared" si="112"/>
        <v>4.5497800000000552</v>
      </c>
      <c r="AJ14" s="8">
        <f t="shared" si="103"/>
        <v>-13.300000000000011</v>
      </c>
      <c r="AK14" s="8">
        <f t="shared" si="103"/>
        <v>-65.099999999999909</v>
      </c>
      <c r="AL14" s="8">
        <f t="shared" si="103"/>
        <v>-20.200000000000045</v>
      </c>
      <c r="AM14" s="8">
        <f t="shared" ref="AM14" si="113">AM9-AM13</f>
        <v>234.99999999999977</v>
      </c>
      <c r="AN14" s="8">
        <f t="shared" ref="AN14" si="114">AN9-AN13</f>
        <v>-530.90000000000032</v>
      </c>
      <c r="AO14" s="8">
        <f t="shared" ref="AO14" si="115">AO9-AO13</f>
        <v>-792.29999999999973</v>
      </c>
      <c r="AP14" s="8">
        <f t="shared" ref="AP14" si="116">AP9-AP13</f>
        <v>-218.30000000000018</v>
      </c>
      <c r="AQ14" s="8">
        <f t="shared" ref="AQ14" si="117">AQ9-AQ13</f>
        <v>-106.75249000000076</v>
      </c>
      <c r="AR14" s="8">
        <f t="shared" ref="AR14" si="118">AR9-AR13</f>
        <v>152.86350119999952</v>
      </c>
      <c r="AS14" s="8">
        <f t="shared" ref="AS14" si="119">AS9-AS13</f>
        <v>332.3549061359995</v>
      </c>
      <c r="AT14" s="8">
        <f t="shared" ref="AT14" si="120">AT9-AT13</f>
        <v>483.90033791255973</v>
      </c>
      <c r="AU14" s="8">
        <f t="shared" ref="AU14" si="121">AU9-AU13</f>
        <v>537.62344558356745</v>
      </c>
      <c r="AV14" s="8">
        <f t="shared" ref="AV14:AW14" si="122">AV9-AV13</f>
        <v>575.11786989179609</v>
      </c>
      <c r="AW14" s="8">
        <f t="shared" si="122"/>
        <v>595.88624971408353</v>
      </c>
      <c r="AX14" s="8">
        <f t="shared" ref="AX14:BA14" si="123">AX9-AX13</f>
        <v>617.16265735706111</v>
      </c>
      <c r="AY14" s="8">
        <f t="shared" si="123"/>
        <v>638.95817997938548</v>
      </c>
      <c r="AZ14" s="8">
        <f t="shared" si="123"/>
        <v>661.28413574890828</v>
      </c>
      <c r="BA14" s="8">
        <f t="shared" si="123"/>
        <v>684.15207855551989</v>
      </c>
    </row>
    <row r="15" spans="2:53" x14ac:dyDescent="0.3">
      <c r="B15" t="s">
        <v>33</v>
      </c>
      <c r="C15" s="5">
        <f>0.1-0.5</f>
        <v>-0.4</v>
      </c>
      <c r="D15" s="5">
        <f>0.1-0.4</f>
        <v>-0.30000000000000004</v>
      </c>
      <c r="E15" s="5">
        <f>0.1-2.2</f>
        <v>-2.1</v>
      </c>
      <c r="F15" s="5">
        <f>0.1-1.3</f>
        <v>-1.2</v>
      </c>
      <c r="G15" s="5">
        <f>0.1-1</f>
        <v>-0.9</v>
      </c>
      <c r="H15" s="5">
        <f>0.66-1.2</f>
        <v>-0.53999999999999992</v>
      </c>
      <c r="I15" s="5">
        <f>0.1-2.1</f>
        <v>-2</v>
      </c>
      <c r="J15" s="5">
        <f>0.9-2.2</f>
        <v>-1.3000000000000003</v>
      </c>
      <c r="K15" s="5">
        <f>0.9-1.3</f>
        <v>-0.4</v>
      </c>
      <c r="L15" s="5">
        <f>1-0.6</f>
        <v>0.4</v>
      </c>
      <c r="M15" s="5">
        <f>0.8-1.2</f>
        <v>-0.39999999999999991</v>
      </c>
      <c r="N15" s="5">
        <v>-1.45</v>
      </c>
      <c r="O15" s="5">
        <v>0.3</v>
      </c>
      <c r="P15" s="5">
        <f>0.7-1.5</f>
        <v>-0.8</v>
      </c>
      <c r="Q15" s="5">
        <f>0.7-0.5</f>
        <v>0.19999999999999996</v>
      </c>
      <c r="R15" s="5">
        <f>0.7-2</f>
        <v>-1.3</v>
      </c>
      <c r="S15" s="5">
        <f>1.1-0.4</f>
        <v>0.70000000000000007</v>
      </c>
      <c r="T15" s="5">
        <f>1.1-1.8</f>
        <v>-0.7</v>
      </c>
      <c r="U15" s="5">
        <f>1.2-27.9</f>
        <v>-26.7</v>
      </c>
      <c r="V15" s="5">
        <f>1.9-13.6</f>
        <v>-11.7</v>
      </c>
      <c r="W15" s="5">
        <f>0.1-23.1</f>
        <v>-23</v>
      </c>
      <c r="X15" s="5">
        <v>-20</v>
      </c>
      <c r="Y15" s="5">
        <v>-22.9</v>
      </c>
      <c r="Z15" s="5">
        <v>-27.7</v>
      </c>
      <c r="AA15" s="5">
        <v>-26</v>
      </c>
      <c r="AB15" s="5">
        <v>-28.1</v>
      </c>
      <c r="AC15" s="5">
        <v>-30.9</v>
      </c>
      <c r="AD15" s="5">
        <v>-13.3</v>
      </c>
      <c r="AE15" s="5">
        <v>-17.2</v>
      </c>
      <c r="AF15" s="5">
        <f t="shared" ref="AF15:AH15" si="124">AB15*1.01</f>
        <v>-28.381</v>
      </c>
      <c r="AG15" s="5">
        <f t="shared" si="124"/>
        <v>-31.209</v>
      </c>
      <c r="AH15" s="5">
        <f t="shared" si="124"/>
        <v>-13.433000000000002</v>
      </c>
      <c r="AJ15" s="5">
        <f>SUM(C15:F15)</f>
        <v>-4</v>
      </c>
      <c r="AK15" s="5">
        <f>SUM(G15:J15)</f>
        <v>-4.74</v>
      </c>
      <c r="AL15" s="5">
        <f>SUM(K15:N15)</f>
        <v>-1.8499999999999999</v>
      </c>
      <c r="AM15" s="5">
        <f>SUM(O15:R15)</f>
        <v>-1.6</v>
      </c>
      <c r="AN15" s="5">
        <f>SUM(S15:V15)</f>
        <v>-38.4</v>
      </c>
      <c r="AO15" s="5">
        <f>SUM(W15:Z15)</f>
        <v>-93.600000000000009</v>
      </c>
      <c r="AP15" s="5">
        <f>SUM(AA15:AD15)</f>
        <v>-98.3</v>
      </c>
      <c r="AQ15" s="5">
        <f>SUM(AE15:AH15)</f>
        <v>-90.223000000000013</v>
      </c>
      <c r="AR15" s="5">
        <f t="shared" ref="AR15:BA15" si="125">AQ15*1.03</f>
        <v>-92.929690000000022</v>
      </c>
      <c r="AS15" s="5">
        <f t="shared" si="125"/>
        <v>-95.717580700000028</v>
      </c>
      <c r="AT15" s="5">
        <f t="shared" si="125"/>
        <v>-98.589108121000038</v>
      </c>
      <c r="AU15" s="5">
        <f t="shared" si="125"/>
        <v>-101.54678136463004</v>
      </c>
      <c r="AV15" s="5">
        <f t="shared" si="125"/>
        <v>-104.59318480556894</v>
      </c>
      <c r="AW15" s="5">
        <f t="shared" si="125"/>
        <v>-107.73098034973602</v>
      </c>
      <c r="AX15" s="5">
        <f t="shared" si="125"/>
        <v>-110.9629097602281</v>
      </c>
      <c r="AY15" s="5">
        <f t="shared" si="125"/>
        <v>-114.29179705303494</v>
      </c>
      <c r="AZ15" s="5">
        <f t="shared" si="125"/>
        <v>-117.72055096462599</v>
      </c>
      <c r="BA15" s="5">
        <f t="shared" si="125"/>
        <v>-121.25216749356477</v>
      </c>
    </row>
    <row r="16" spans="2:53" s="1" customFormat="1" x14ac:dyDescent="0.3">
      <c r="B16" s="1" t="s">
        <v>34</v>
      </c>
      <c r="C16" s="8">
        <f t="shared" ref="C16:L16" si="126">C14-C15</f>
        <v>-6.5000000000000053</v>
      </c>
      <c r="D16" s="8">
        <f t="shared" si="126"/>
        <v>0.20000000000000573</v>
      </c>
      <c r="E16" s="8">
        <f t="shared" si="126"/>
        <v>-9.7000000000000259</v>
      </c>
      <c r="F16" s="8">
        <f t="shared" si="126"/>
        <v>6.699999999999986</v>
      </c>
      <c r="G16" s="8">
        <f t="shared" si="126"/>
        <v>-9.8000000000000167</v>
      </c>
      <c r="H16" s="8">
        <f t="shared" si="126"/>
        <v>-9.8600000000000065</v>
      </c>
      <c r="I16" s="8">
        <f t="shared" si="126"/>
        <v>-24.700000000000017</v>
      </c>
      <c r="J16" s="8">
        <f t="shared" si="126"/>
        <v>-15.999999999999954</v>
      </c>
      <c r="K16" s="8">
        <f t="shared" si="126"/>
        <v>-54.6</v>
      </c>
      <c r="L16" s="8">
        <f t="shared" si="126"/>
        <v>-42.599999999999987</v>
      </c>
      <c r="M16" s="8">
        <f t="shared" ref="M16:AL16" si="127">M14-M15</f>
        <v>12.20000000000004</v>
      </c>
      <c r="N16" s="8">
        <f t="shared" si="127"/>
        <v>66.649999999999991</v>
      </c>
      <c r="O16" s="8">
        <f t="shared" si="127"/>
        <v>75.500000000000071</v>
      </c>
      <c r="P16" s="8">
        <f t="shared" ref="P16:Q16" si="128">P14-P15</f>
        <v>69.899999999999906</v>
      </c>
      <c r="Q16" s="8">
        <f t="shared" si="128"/>
        <v>68.599999999999952</v>
      </c>
      <c r="R16" s="8">
        <f t="shared" si="127"/>
        <v>22.599999999999955</v>
      </c>
      <c r="S16" s="8">
        <f t="shared" ref="S16:T16" si="129">S14-S15</f>
        <v>-24.200000000000056</v>
      </c>
      <c r="T16" s="8">
        <f t="shared" si="129"/>
        <v>-109.80000000000005</v>
      </c>
      <c r="U16" s="8">
        <f t="shared" ref="U16" si="130">U14-U15</f>
        <v>-120.29999999999994</v>
      </c>
      <c r="V16" s="8">
        <f t="shared" ref="V16" si="131">V14-V15</f>
        <v>-238.2000000000001</v>
      </c>
      <c r="W16" s="8">
        <f t="shared" ref="W16:X16" si="132">W14-W15</f>
        <v>-189.50000000000006</v>
      </c>
      <c r="X16" s="8">
        <f t="shared" si="132"/>
        <v>-105.90000000000003</v>
      </c>
      <c r="Y16" s="8">
        <f t="shared" ref="Y16" si="133">Y14-Y15</f>
        <v>-326.89999999999998</v>
      </c>
      <c r="Z16" s="8">
        <f t="shared" ref="Z16:AH16" si="134">Z14-Z15</f>
        <v>-76.40000000000002</v>
      </c>
      <c r="AA16" s="8">
        <f t="shared" si="134"/>
        <v>-46.000000000000057</v>
      </c>
      <c r="AB16" s="8">
        <f t="shared" si="134"/>
        <v>-43.30000000000009</v>
      </c>
      <c r="AC16" s="8">
        <f t="shared" si="134"/>
        <v>-4.7999999999998195</v>
      </c>
      <c r="AD16" s="8">
        <f t="shared" si="134"/>
        <v>-25.899999999999931</v>
      </c>
      <c r="AE16" s="8">
        <f t="shared" si="134"/>
        <v>-40.500000000000043</v>
      </c>
      <c r="AF16" s="8">
        <f t="shared" si="134"/>
        <v>-11.926189999999991</v>
      </c>
      <c r="AG16" s="8">
        <f t="shared" si="134"/>
        <v>17.913920000000129</v>
      </c>
      <c r="AH16" s="8">
        <f t="shared" si="134"/>
        <v>17.982780000000055</v>
      </c>
      <c r="AJ16" s="8">
        <f t="shared" si="127"/>
        <v>-9.3000000000000114</v>
      </c>
      <c r="AK16" s="8">
        <f t="shared" si="127"/>
        <v>-60.359999999999907</v>
      </c>
      <c r="AL16" s="8">
        <f t="shared" si="127"/>
        <v>-18.350000000000044</v>
      </c>
      <c r="AM16" s="8">
        <f t="shared" ref="AM16" si="135">AM14-AM15</f>
        <v>236.59999999999977</v>
      </c>
      <c r="AN16" s="8">
        <f t="shared" ref="AN16" si="136">AN14-AN15</f>
        <v>-492.50000000000034</v>
      </c>
      <c r="AO16" s="8">
        <f t="shared" ref="AO16" si="137">AO14-AO15</f>
        <v>-698.6999999999997</v>
      </c>
      <c r="AP16" s="8">
        <f t="shared" ref="AP16" si="138">AP14-AP15</f>
        <v>-120.00000000000018</v>
      </c>
      <c r="AQ16" s="8">
        <f t="shared" ref="AQ16" si="139">AQ14-AQ15</f>
        <v>-16.529490000000749</v>
      </c>
      <c r="AR16" s="8">
        <f t="shared" ref="AR16" si="140">AR14-AR15</f>
        <v>245.79319119999954</v>
      </c>
      <c r="AS16" s="8">
        <f t="shared" ref="AS16" si="141">AS14-AS15</f>
        <v>428.07248683599954</v>
      </c>
      <c r="AT16" s="8">
        <f t="shared" ref="AT16" si="142">AT14-AT15</f>
        <v>582.48944603355972</v>
      </c>
      <c r="AU16" s="8">
        <f t="shared" ref="AU16" si="143">AU14-AU15</f>
        <v>639.17022694819752</v>
      </c>
      <c r="AV16" s="8">
        <f t="shared" ref="AV16:AW16" si="144">AV14-AV15</f>
        <v>679.71105469736506</v>
      </c>
      <c r="AW16" s="8">
        <f t="shared" si="144"/>
        <v>703.61723006381953</v>
      </c>
      <c r="AX16" s="8">
        <f t="shared" ref="AX16:BA16" si="145">AX14-AX15</f>
        <v>728.12556711728917</v>
      </c>
      <c r="AY16" s="8">
        <f t="shared" si="145"/>
        <v>753.24997703242047</v>
      </c>
      <c r="AZ16" s="8">
        <f t="shared" si="145"/>
        <v>779.00468671353428</v>
      </c>
      <c r="BA16" s="8">
        <f t="shared" si="145"/>
        <v>805.40424604908469</v>
      </c>
    </row>
    <row r="17" spans="2:163" x14ac:dyDescent="0.3">
      <c r="B17" t="s">
        <v>35</v>
      </c>
      <c r="C17" s="5">
        <v>0.1</v>
      </c>
      <c r="D17" s="5">
        <v>-0.4</v>
      </c>
      <c r="E17" s="5">
        <v>-0.2</v>
      </c>
      <c r="F17" s="5">
        <v>-0.1</v>
      </c>
      <c r="G17" s="5">
        <v>-0.1</v>
      </c>
      <c r="H17" s="5">
        <v>-0.4</v>
      </c>
      <c r="I17" s="5">
        <v>-0.1</v>
      </c>
      <c r="J17" s="5">
        <v>-0.4</v>
      </c>
      <c r="K17" s="5">
        <v>-0.2</v>
      </c>
      <c r="L17" s="5">
        <v>0.5</v>
      </c>
      <c r="M17" s="5">
        <v>-1</v>
      </c>
      <c r="N17" s="5">
        <v>-0.7</v>
      </c>
      <c r="O17" s="5">
        <v>-0.8</v>
      </c>
      <c r="P17" s="5">
        <v>-3.6</v>
      </c>
      <c r="Q17" s="5">
        <v>-0.3</v>
      </c>
      <c r="R17" s="5">
        <v>-1.1000000000000001</v>
      </c>
      <c r="S17" s="5">
        <v>2.2000000000000002</v>
      </c>
      <c r="T17" s="5">
        <v>2.6</v>
      </c>
      <c r="U17" s="5">
        <v>2</v>
      </c>
      <c r="V17" s="5">
        <v>-1</v>
      </c>
      <c r="W17" s="5">
        <v>3.6</v>
      </c>
      <c r="X17" s="5">
        <v>1.6</v>
      </c>
      <c r="Y17" s="5">
        <v>3.2</v>
      </c>
      <c r="Z17" s="5">
        <v>1.8</v>
      </c>
      <c r="AA17" s="5">
        <v>4.8</v>
      </c>
      <c r="AB17" s="5">
        <v>-9.1999999999999993</v>
      </c>
      <c r="AC17" s="5">
        <v>4.0999999999999996</v>
      </c>
      <c r="AD17" s="5">
        <v>9.6999999999999993</v>
      </c>
      <c r="AE17" s="5">
        <v>-13.1</v>
      </c>
      <c r="AF17" s="5">
        <f t="shared" ref="AF17:AH17" si="146">AF16*0.2</f>
        <v>-2.3852379999999984</v>
      </c>
      <c r="AG17" s="5">
        <f t="shared" si="146"/>
        <v>3.5827840000000259</v>
      </c>
      <c r="AH17" s="5">
        <f t="shared" si="146"/>
        <v>3.5965560000000112</v>
      </c>
      <c r="AJ17" s="5">
        <f>SUM(C17:F17)</f>
        <v>-0.6</v>
      </c>
      <c r="AK17" s="5">
        <f>SUM(G17:J17)</f>
        <v>-1</v>
      </c>
      <c r="AL17" s="5">
        <f>SUM(K17:N17)</f>
        <v>-1.4</v>
      </c>
      <c r="AM17" s="5">
        <f>SUM(O17:R17)</f>
        <v>-5.8000000000000007</v>
      </c>
      <c r="AN17" s="5">
        <f>SUM(S17:V17)</f>
        <v>5.8000000000000007</v>
      </c>
      <c r="AO17" s="5">
        <f>SUM(W17:Z17)</f>
        <v>10.200000000000001</v>
      </c>
      <c r="AP17" s="5">
        <f>SUM(AA17:AD17)</f>
        <v>9.3999999999999986</v>
      </c>
      <c r="AQ17" s="5">
        <f>SUM(AE17:AH17)</f>
        <v>-8.3058979999999636</v>
      </c>
      <c r="AR17" s="5">
        <f>AR16*0.2</f>
        <v>49.15863823999991</v>
      </c>
      <c r="AS17" s="5">
        <f t="shared" ref="AS17:AV17" si="147">AS16*0.2</f>
        <v>85.614497367199917</v>
      </c>
      <c r="AT17" s="5">
        <f t="shared" si="147"/>
        <v>116.49788920671195</v>
      </c>
      <c r="AU17" s="5">
        <f t="shared" si="147"/>
        <v>127.83404538963951</v>
      </c>
      <c r="AV17" s="5">
        <f t="shared" si="147"/>
        <v>135.94221093947303</v>
      </c>
      <c r="AW17" s="5">
        <f t="shared" ref="AW17:BA17" si="148">AW16*0.2</f>
        <v>140.7234460127639</v>
      </c>
      <c r="AX17" s="5">
        <f t="shared" si="148"/>
        <v>145.62511342345783</v>
      </c>
      <c r="AY17" s="5">
        <f t="shared" si="148"/>
        <v>150.64999540648409</v>
      </c>
      <c r="AZ17" s="5">
        <f t="shared" si="148"/>
        <v>155.80093734270687</v>
      </c>
      <c r="BA17" s="5">
        <f t="shared" si="148"/>
        <v>161.08084920981696</v>
      </c>
    </row>
    <row r="18" spans="2:163" s="1" customFormat="1" x14ac:dyDescent="0.3">
      <c r="B18" s="1" t="s">
        <v>36</v>
      </c>
      <c r="C18" s="8">
        <f t="shared" ref="C18:L18" si="149">C16-C17</f>
        <v>-6.600000000000005</v>
      </c>
      <c r="D18" s="8">
        <f t="shared" si="149"/>
        <v>0.60000000000000575</v>
      </c>
      <c r="E18" s="8">
        <f t="shared" si="149"/>
        <v>-9.5000000000000266</v>
      </c>
      <c r="F18" s="8">
        <f t="shared" si="149"/>
        <v>6.7999999999999856</v>
      </c>
      <c r="G18" s="8">
        <f t="shared" si="149"/>
        <v>-9.7000000000000171</v>
      </c>
      <c r="H18" s="8">
        <f t="shared" si="149"/>
        <v>-9.4600000000000062</v>
      </c>
      <c r="I18" s="8">
        <f t="shared" si="149"/>
        <v>-24.600000000000016</v>
      </c>
      <c r="J18" s="8">
        <f t="shared" si="149"/>
        <v>-15.599999999999953</v>
      </c>
      <c r="K18" s="8">
        <f t="shared" si="149"/>
        <v>-54.4</v>
      </c>
      <c r="L18" s="8">
        <f t="shared" si="149"/>
        <v>-43.099999999999987</v>
      </c>
      <c r="M18" s="8">
        <f t="shared" ref="M18:AL18" si="150">M16-M17</f>
        <v>13.20000000000004</v>
      </c>
      <c r="N18" s="8">
        <f t="shared" si="150"/>
        <v>67.349999999999994</v>
      </c>
      <c r="O18" s="8">
        <f t="shared" ref="O18:R18" si="151">O16-O17</f>
        <v>76.300000000000068</v>
      </c>
      <c r="P18" s="8">
        <f t="shared" ref="P18:Q18" si="152">P16-P17</f>
        <v>73.499999999999901</v>
      </c>
      <c r="Q18" s="8">
        <f t="shared" si="152"/>
        <v>68.899999999999949</v>
      </c>
      <c r="R18" s="8">
        <f t="shared" si="151"/>
        <v>23.699999999999957</v>
      </c>
      <c r="S18" s="8">
        <f t="shared" ref="S18:T18" si="153">S16-S17</f>
        <v>-26.400000000000055</v>
      </c>
      <c r="T18" s="8">
        <f t="shared" si="153"/>
        <v>-112.40000000000005</v>
      </c>
      <c r="U18" s="8">
        <f t="shared" ref="U18" si="154">U16-U17</f>
        <v>-122.29999999999994</v>
      </c>
      <c r="V18" s="8">
        <f t="shared" ref="V18" si="155">V16-V17</f>
        <v>-237.2000000000001</v>
      </c>
      <c r="W18" s="8">
        <f t="shared" ref="W18:X18" si="156">W16-W17</f>
        <v>-193.10000000000005</v>
      </c>
      <c r="X18" s="8">
        <f t="shared" si="156"/>
        <v>-107.50000000000003</v>
      </c>
      <c r="Y18" s="8">
        <f t="shared" ref="Y18" si="157">Y16-Y17</f>
        <v>-330.09999999999997</v>
      </c>
      <c r="Z18" s="8">
        <f t="shared" ref="Z18:AA18" si="158">Z16-Z17</f>
        <v>-78.200000000000017</v>
      </c>
      <c r="AA18" s="8">
        <f t="shared" si="158"/>
        <v>-50.800000000000054</v>
      </c>
      <c r="AB18" s="8">
        <f t="shared" ref="AB18:AD18" si="159">AB16-AB17</f>
        <v>-34.100000000000094</v>
      </c>
      <c r="AC18" s="8">
        <f t="shared" si="159"/>
        <v>-8.8999999999998192</v>
      </c>
      <c r="AD18" s="8">
        <f t="shared" si="159"/>
        <v>-35.59999999999993</v>
      </c>
      <c r="AE18" s="8">
        <f t="shared" ref="AE18:AH18" si="160">AE16-AE17</f>
        <v>-27.400000000000041</v>
      </c>
      <c r="AF18" s="8">
        <f t="shared" si="160"/>
        <v>-9.5409519999999937</v>
      </c>
      <c r="AG18" s="8">
        <f t="shared" si="160"/>
        <v>14.331136000000104</v>
      </c>
      <c r="AH18" s="8">
        <f t="shared" si="160"/>
        <v>14.386224000000045</v>
      </c>
      <c r="AJ18" s="8">
        <f t="shared" si="150"/>
        <v>-8.7000000000000117</v>
      </c>
      <c r="AK18" s="8">
        <f t="shared" si="150"/>
        <v>-59.359999999999907</v>
      </c>
      <c r="AL18" s="8">
        <f t="shared" si="150"/>
        <v>-16.950000000000045</v>
      </c>
      <c r="AM18" s="8">
        <f t="shared" ref="AM18" si="161">AM16-AM17</f>
        <v>242.39999999999978</v>
      </c>
      <c r="AN18" s="8">
        <f t="shared" ref="AN18" si="162">AN16-AN17</f>
        <v>-498.30000000000035</v>
      </c>
      <c r="AO18" s="8">
        <f t="shared" ref="AO18" si="163">AO16-AO17</f>
        <v>-708.89999999999975</v>
      </c>
      <c r="AP18" s="8">
        <f t="shared" ref="AP18" si="164">AP16-AP17</f>
        <v>-129.40000000000018</v>
      </c>
      <c r="AQ18" s="8">
        <f t="shared" ref="AQ18" si="165">AQ16-AQ17</f>
        <v>-8.2235920000007852</v>
      </c>
      <c r="AR18" s="8">
        <f t="shared" ref="AR18" si="166">AR16-AR17</f>
        <v>196.63455295999964</v>
      </c>
      <c r="AS18" s="8">
        <f t="shared" ref="AS18" si="167">AS16-AS17</f>
        <v>342.45798946879961</v>
      </c>
      <c r="AT18" s="8">
        <f t="shared" ref="AT18" si="168">AT16-AT17</f>
        <v>465.99155682684778</v>
      </c>
      <c r="AU18" s="8">
        <f t="shared" ref="AU18" si="169">AU16-AU17</f>
        <v>511.336181558558</v>
      </c>
      <c r="AV18" s="8">
        <f t="shared" ref="AV18:AW18" si="170">AV16-AV17</f>
        <v>543.768843757892</v>
      </c>
      <c r="AW18" s="8">
        <f t="shared" si="170"/>
        <v>562.8937840510556</v>
      </c>
      <c r="AX18" s="8">
        <f t="shared" ref="AX18:BA18" si="171">AX16-AX17</f>
        <v>582.50045369383133</v>
      </c>
      <c r="AY18" s="8">
        <f t="shared" si="171"/>
        <v>602.59998162593638</v>
      </c>
      <c r="AZ18" s="8">
        <f t="shared" si="171"/>
        <v>623.20374937082738</v>
      </c>
      <c r="BA18" s="8">
        <f t="shared" si="171"/>
        <v>644.32339683926773</v>
      </c>
      <c r="BB18" s="1">
        <f>BA18*(1+$BD$25)</f>
        <v>637.8801628708751</v>
      </c>
      <c r="BC18" s="1">
        <f t="shared" ref="BC18:DN18" si="172">BB18*(1+$BD$25)</f>
        <v>631.50136124216635</v>
      </c>
      <c r="BD18" s="1">
        <f t="shared" si="172"/>
        <v>625.18634762974466</v>
      </c>
      <c r="BE18" s="1">
        <f t="shared" si="172"/>
        <v>618.93448415344722</v>
      </c>
      <c r="BF18" s="1">
        <f t="shared" si="172"/>
        <v>612.74513931191279</v>
      </c>
      <c r="BG18" s="1">
        <f t="shared" si="172"/>
        <v>606.61768791879365</v>
      </c>
      <c r="BH18" s="1">
        <f t="shared" si="172"/>
        <v>600.55151103960566</v>
      </c>
      <c r="BI18" s="1">
        <f t="shared" si="172"/>
        <v>594.54599592920954</v>
      </c>
      <c r="BJ18" s="1">
        <f t="shared" si="172"/>
        <v>588.60053596991747</v>
      </c>
      <c r="BK18" s="1">
        <f t="shared" si="172"/>
        <v>582.71453061021828</v>
      </c>
      <c r="BL18" s="1">
        <f t="shared" si="172"/>
        <v>576.88738530411604</v>
      </c>
      <c r="BM18" s="1">
        <f t="shared" si="172"/>
        <v>571.11851145107482</v>
      </c>
      <c r="BN18" s="1">
        <f t="shared" si="172"/>
        <v>565.4073263365641</v>
      </c>
      <c r="BO18" s="1">
        <f t="shared" si="172"/>
        <v>559.75325307319849</v>
      </c>
      <c r="BP18" s="1">
        <f t="shared" si="172"/>
        <v>554.1557205424665</v>
      </c>
      <c r="BQ18" s="1">
        <f t="shared" si="172"/>
        <v>548.61416333704187</v>
      </c>
      <c r="BR18" s="1">
        <f t="shared" si="172"/>
        <v>543.12802170367149</v>
      </c>
      <c r="BS18" s="1">
        <f t="shared" si="172"/>
        <v>537.69674148663478</v>
      </c>
      <c r="BT18" s="1">
        <f t="shared" si="172"/>
        <v>532.31977407176839</v>
      </c>
      <c r="BU18" s="1">
        <f t="shared" si="172"/>
        <v>526.99657633105073</v>
      </c>
      <c r="BV18" s="1">
        <f t="shared" si="172"/>
        <v>521.72661056774018</v>
      </c>
      <c r="BW18" s="1">
        <f t="shared" si="172"/>
        <v>516.50934446206281</v>
      </c>
      <c r="BX18" s="1">
        <f t="shared" si="172"/>
        <v>511.34425101744216</v>
      </c>
      <c r="BY18" s="1">
        <f t="shared" si="172"/>
        <v>506.23080850726774</v>
      </c>
      <c r="BZ18" s="1">
        <f t="shared" si="172"/>
        <v>501.16850042219505</v>
      </c>
      <c r="CA18" s="1">
        <f t="shared" si="172"/>
        <v>496.15681541797312</v>
      </c>
      <c r="CB18" s="1">
        <f t="shared" si="172"/>
        <v>491.19524726379336</v>
      </c>
      <c r="CC18" s="1">
        <f t="shared" si="172"/>
        <v>486.28329479115541</v>
      </c>
      <c r="CD18" s="1">
        <f t="shared" si="172"/>
        <v>481.42046184324386</v>
      </c>
      <c r="CE18" s="1">
        <f t="shared" si="172"/>
        <v>476.60625722481143</v>
      </c>
      <c r="CF18" s="1">
        <f t="shared" si="172"/>
        <v>471.8401946525633</v>
      </c>
      <c r="CG18" s="1">
        <f t="shared" si="172"/>
        <v>467.12179270603764</v>
      </c>
      <c r="CH18" s="1">
        <f t="shared" si="172"/>
        <v>462.45057477897728</v>
      </c>
      <c r="CI18" s="1">
        <f t="shared" si="172"/>
        <v>457.8260690311875</v>
      </c>
      <c r="CJ18" s="1">
        <f t="shared" si="172"/>
        <v>453.24780834087562</v>
      </c>
      <c r="CK18" s="1">
        <f t="shared" si="172"/>
        <v>448.71533025746686</v>
      </c>
      <c r="CL18" s="1">
        <f t="shared" si="172"/>
        <v>444.22817695489221</v>
      </c>
      <c r="CM18" s="1">
        <f t="shared" si="172"/>
        <v>439.78589518534329</v>
      </c>
      <c r="CN18" s="1">
        <f t="shared" si="172"/>
        <v>435.38803623348986</v>
      </c>
      <c r="CO18" s="1">
        <f t="shared" si="172"/>
        <v>431.03415587115495</v>
      </c>
      <c r="CP18" s="1">
        <f t="shared" si="172"/>
        <v>426.72381431244338</v>
      </c>
      <c r="CQ18" s="1">
        <f t="shared" si="172"/>
        <v>422.45657616931896</v>
      </c>
      <c r="CR18" s="1">
        <f t="shared" si="172"/>
        <v>418.23201040762575</v>
      </c>
      <c r="CS18" s="1">
        <f t="shared" si="172"/>
        <v>414.04969030354948</v>
      </c>
      <c r="CT18" s="1">
        <f t="shared" si="172"/>
        <v>409.90919340051397</v>
      </c>
      <c r="CU18" s="1">
        <f t="shared" si="172"/>
        <v>405.81010146650885</v>
      </c>
      <c r="CV18" s="1">
        <f t="shared" si="172"/>
        <v>401.75200045184374</v>
      </c>
      <c r="CW18" s="1">
        <f t="shared" si="172"/>
        <v>397.73448044732532</v>
      </c>
      <c r="CX18" s="1">
        <f t="shared" si="172"/>
        <v>393.75713564285206</v>
      </c>
      <c r="CY18" s="1">
        <f t="shared" si="172"/>
        <v>389.81956428642354</v>
      </c>
      <c r="CZ18" s="1">
        <f t="shared" si="172"/>
        <v>385.92136864355928</v>
      </c>
      <c r="DA18" s="1">
        <f t="shared" si="172"/>
        <v>382.06215495712365</v>
      </c>
      <c r="DB18" s="1">
        <f t="shared" si="172"/>
        <v>378.24153340755242</v>
      </c>
      <c r="DC18" s="1">
        <f t="shared" si="172"/>
        <v>374.45911807347687</v>
      </c>
      <c r="DD18" s="1">
        <f t="shared" si="172"/>
        <v>370.71452689274213</v>
      </c>
      <c r="DE18" s="1">
        <f t="shared" si="172"/>
        <v>367.00738162381469</v>
      </c>
      <c r="DF18" s="1">
        <f t="shared" si="172"/>
        <v>363.33730780757656</v>
      </c>
      <c r="DG18" s="1">
        <f t="shared" si="172"/>
        <v>359.70393472950082</v>
      </c>
      <c r="DH18" s="1">
        <f t="shared" si="172"/>
        <v>356.10689538220578</v>
      </c>
      <c r="DI18" s="1">
        <f t="shared" si="172"/>
        <v>352.54582642838369</v>
      </c>
      <c r="DJ18" s="1">
        <f t="shared" si="172"/>
        <v>349.02036816409986</v>
      </c>
      <c r="DK18" s="1">
        <f t="shared" si="172"/>
        <v>345.53016448245887</v>
      </c>
      <c r="DL18" s="1">
        <f t="shared" si="172"/>
        <v>342.07486283763427</v>
      </c>
      <c r="DM18" s="1">
        <f t="shared" si="172"/>
        <v>338.6541142092579</v>
      </c>
      <c r="DN18" s="1">
        <f t="shared" si="172"/>
        <v>335.2675730671653</v>
      </c>
      <c r="DO18" s="1">
        <f t="shared" ref="DO18:FG18" si="173">DN18*(1+$BD$25)</f>
        <v>331.91489733649365</v>
      </c>
      <c r="DP18" s="1">
        <f t="shared" si="173"/>
        <v>328.59574836312873</v>
      </c>
      <c r="DQ18" s="1">
        <f t="shared" si="173"/>
        <v>325.30979087949743</v>
      </c>
      <c r="DR18" s="1">
        <f t="shared" si="173"/>
        <v>322.05669297070244</v>
      </c>
      <c r="DS18" s="1">
        <f t="shared" si="173"/>
        <v>318.8361260409954</v>
      </c>
      <c r="DT18" s="1">
        <f t="shared" si="173"/>
        <v>315.64776478058542</v>
      </c>
      <c r="DU18" s="1">
        <f t="shared" si="173"/>
        <v>312.49128713277958</v>
      </c>
      <c r="DV18" s="1">
        <f t="shared" si="173"/>
        <v>309.36637426145177</v>
      </c>
      <c r="DW18" s="1">
        <f t="shared" si="173"/>
        <v>306.27271051883724</v>
      </c>
      <c r="DX18" s="1">
        <f t="shared" si="173"/>
        <v>303.20998341364884</v>
      </c>
      <c r="DY18" s="1">
        <f t="shared" si="173"/>
        <v>300.17788357951235</v>
      </c>
      <c r="DZ18" s="1">
        <f t="shared" si="173"/>
        <v>297.17610474371725</v>
      </c>
      <c r="EA18" s="1">
        <f t="shared" si="173"/>
        <v>294.20434369628009</v>
      </c>
      <c r="EB18" s="1">
        <f t="shared" si="173"/>
        <v>291.26230025931727</v>
      </c>
      <c r="EC18" s="1">
        <f t="shared" si="173"/>
        <v>288.34967725672408</v>
      </c>
      <c r="ED18" s="1">
        <f t="shared" si="173"/>
        <v>285.46618048415684</v>
      </c>
      <c r="EE18" s="1">
        <f t="shared" si="173"/>
        <v>282.61151867931528</v>
      </c>
      <c r="EF18" s="1">
        <f t="shared" si="173"/>
        <v>279.78540349252211</v>
      </c>
      <c r="EG18" s="1">
        <f t="shared" si="173"/>
        <v>276.98754945759686</v>
      </c>
      <c r="EH18" s="1">
        <f t="shared" si="173"/>
        <v>274.2176739630209</v>
      </c>
      <c r="EI18" s="1">
        <f t="shared" si="173"/>
        <v>271.47549722339068</v>
      </c>
      <c r="EJ18" s="1">
        <f t="shared" si="173"/>
        <v>268.76074225115678</v>
      </c>
      <c r="EK18" s="1">
        <f t="shared" si="173"/>
        <v>266.07313482864521</v>
      </c>
      <c r="EL18" s="1">
        <f t="shared" si="173"/>
        <v>263.41240348035876</v>
      </c>
      <c r="EM18" s="1">
        <f t="shared" si="173"/>
        <v>260.7782794455552</v>
      </c>
      <c r="EN18" s="1">
        <f t="shared" si="173"/>
        <v>258.17049665109965</v>
      </c>
      <c r="EO18" s="1">
        <f t="shared" si="173"/>
        <v>255.58879168458864</v>
      </c>
      <c r="EP18" s="1">
        <f t="shared" si="173"/>
        <v>253.03290376774277</v>
      </c>
      <c r="EQ18" s="1">
        <f t="shared" si="173"/>
        <v>250.50257473006533</v>
      </c>
      <c r="ER18" s="1">
        <f t="shared" si="173"/>
        <v>247.99754898276467</v>
      </c>
      <c r="ES18" s="1">
        <f t="shared" si="173"/>
        <v>245.51757349293703</v>
      </c>
      <c r="ET18" s="1">
        <f t="shared" si="173"/>
        <v>243.06239775800765</v>
      </c>
      <c r="EU18" s="1">
        <f t="shared" si="173"/>
        <v>240.63177378042758</v>
      </c>
      <c r="EV18" s="1">
        <f t="shared" si="173"/>
        <v>238.22545604262331</v>
      </c>
      <c r="EW18" s="1">
        <f t="shared" si="173"/>
        <v>235.84320148219706</v>
      </c>
      <c r="EX18" s="1">
        <f t="shared" si="173"/>
        <v>233.48476946737509</v>
      </c>
      <c r="EY18" s="1">
        <f t="shared" si="173"/>
        <v>231.14992177270133</v>
      </c>
      <c r="EZ18" s="1">
        <f t="shared" si="173"/>
        <v>228.83842255497433</v>
      </c>
      <c r="FA18" s="1">
        <f t="shared" si="173"/>
        <v>226.55003832942458</v>
      </c>
      <c r="FB18" s="1">
        <f t="shared" si="173"/>
        <v>224.28453794613034</v>
      </c>
      <c r="FC18" s="1">
        <f t="shared" si="173"/>
        <v>222.04169256666904</v>
      </c>
      <c r="FD18" s="1">
        <f t="shared" si="173"/>
        <v>219.82127564100236</v>
      </c>
      <c r="FE18" s="1">
        <f t="shared" si="173"/>
        <v>217.62306288459234</v>
      </c>
      <c r="FF18" s="1">
        <f t="shared" si="173"/>
        <v>215.44683225574641</v>
      </c>
      <c r="FG18" s="1">
        <f t="shared" si="173"/>
        <v>213.29236393318894</v>
      </c>
    </row>
    <row r="19" spans="2:163" x14ac:dyDescent="0.3">
      <c r="B19" t="s">
        <v>2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>
        <v>125</v>
      </c>
      <c r="N19">
        <v>125</v>
      </c>
      <c r="O19">
        <v>125</v>
      </c>
      <c r="P19" s="5">
        <v>143.69999999999999</v>
      </c>
      <c r="Q19" s="5">
        <v>143.69999999999999</v>
      </c>
      <c r="R19" s="5">
        <v>143.69999999999999</v>
      </c>
      <c r="S19" s="5">
        <v>143.69999999999999</v>
      </c>
      <c r="T19" s="5">
        <v>143.69999999999999</v>
      </c>
      <c r="U19" s="5">
        <v>143.69999999999999</v>
      </c>
      <c r="V19" s="5">
        <v>143.69999999999999</v>
      </c>
      <c r="W19" s="5">
        <v>143.69999999999999</v>
      </c>
      <c r="X19" s="5">
        <v>143.69999999999999</v>
      </c>
      <c r="Y19" s="5">
        <v>143.69999999999999</v>
      </c>
      <c r="Z19" s="5">
        <v>143.69999999999999</v>
      </c>
      <c r="AA19" s="5">
        <v>143.69999999999999</v>
      </c>
      <c r="AB19" s="5">
        <v>143.69999999999999</v>
      </c>
      <c r="AC19" s="5">
        <v>144.9</v>
      </c>
      <c r="AD19" s="5">
        <f>128.7+17.2</f>
        <v>145.89999999999998</v>
      </c>
      <c r="AE19" s="5">
        <f>129.5+17.1</f>
        <v>146.6</v>
      </c>
      <c r="AF19" s="5">
        <f>129.5+17.1</f>
        <v>146.6</v>
      </c>
      <c r="AG19" s="5">
        <f>129.5+17.1</f>
        <v>146.6</v>
      </c>
      <c r="AH19" s="5">
        <f>129.5+17.1</f>
        <v>146.6</v>
      </c>
      <c r="AJ19">
        <v>125</v>
      </c>
      <c r="AK19">
        <v>125</v>
      </c>
      <c r="AL19">
        <v>125</v>
      </c>
      <c r="AM19">
        <v>125</v>
      </c>
      <c r="AN19">
        <v>125</v>
      </c>
      <c r="AO19">
        <v>125</v>
      </c>
      <c r="AP19" s="5">
        <f t="shared" ref="AP19" si="174">128.7+17.2</f>
        <v>145.89999999999998</v>
      </c>
      <c r="AQ19" s="5">
        <f t="shared" ref="AQ19:BA19" si="175">129.5+17.1</f>
        <v>146.6</v>
      </c>
      <c r="AR19" s="5">
        <f t="shared" si="175"/>
        <v>146.6</v>
      </c>
      <c r="AS19" s="5">
        <f t="shared" si="175"/>
        <v>146.6</v>
      </c>
      <c r="AT19" s="5">
        <f t="shared" si="175"/>
        <v>146.6</v>
      </c>
      <c r="AU19" s="5">
        <f t="shared" si="175"/>
        <v>146.6</v>
      </c>
      <c r="AV19" s="5">
        <f t="shared" si="175"/>
        <v>146.6</v>
      </c>
      <c r="AW19" s="5">
        <f t="shared" si="175"/>
        <v>146.6</v>
      </c>
      <c r="AX19" s="5">
        <f t="shared" si="175"/>
        <v>146.6</v>
      </c>
      <c r="AY19" s="5">
        <f t="shared" si="175"/>
        <v>146.6</v>
      </c>
      <c r="AZ19" s="5">
        <f t="shared" si="175"/>
        <v>146.6</v>
      </c>
      <c r="BA19" s="5">
        <f t="shared" si="175"/>
        <v>146.6</v>
      </c>
    </row>
    <row r="20" spans="2:163" s="1" customFormat="1" x14ac:dyDescent="0.3">
      <c r="B20" s="1" t="s">
        <v>37</v>
      </c>
      <c r="C20" s="6">
        <f t="shared" ref="C20:L20" si="176">C18/C19</f>
        <v>-5.2800000000000041E-2</v>
      </c>
      <c r="D20" s="6">
        <f t="shared" si="176"/>
        <v>4.8000000000000464E-3</v>
      </c>
      <c r="E20" s="6">
        <f t="shared" si="176"/>
        <v>-7.6000000000000206E-2</v>
      </c>
      <c r="F20" s="6">
        <f t="shared" si="176"/>
        <v>5.4399999999999886E-2</v>
      </c>
      <c r="G20" s="6">
        <f t="shared" si="176"/>
        <v>-7.7600000000000141E-2</v>
      </c>
      <c r="H20" s="6">
        <f t="shared" si="176"/>
        <v>-7.5680000000000053E-2</v>
      </c>
      <c r="I20" s="6">
        <f t="shared" si="176"/>
        <v>-0.19680000000000011</v>
      </c>
      <c r="J20" s="6">
        <f t="shared" si="176"/>
        <v>-0.12479999999999963</v>
      </c>
      <c r="K20" s="6">
        <f t="shared" si="176"/>
        <v>-0.43519999999999998</v>
      </c>
      <c r="L20" s="6">
        <f t="shared" si="176"/>
        <v>-0.34479999999999988</v>
      </c>
      <c r="M20" s="6">
        <f t="shared" ref="M20:AL20" si="177">M18/M19</f>
        <v>0.10560000000000032</v>
      </c>
      <c r="N20" s="6">
        <f t="shared" si="177"/>
        <v>0.53879999999999995</v>
      </c>
      <c r="O20" s="6">
        <f t="shared" ref="O20:R20" si="178">O18/O19</f>
        <v>0.6104000000000005</v>
      </c>
      <c r="P20" s="6">
        <f t="shared" ref="P20:Q20" si="179">P18/P19</f>
        <v>0.51148225469728537</v>
      </c>
      <c r="Q20" s="6">
        <f t="shared" si="179"/>
        <v>0.47947112038970047</v>
      </c>
      <c r="R20" s="6">
        <f t="shared" si="178"/>
        <v>0.16492693110647152</v>
      </c>
      <c r="S20" s="6">
        <f t="shared" ref="S20:T20" si="180">S18/S19</f>
        <v>-0.18371607515657659</v>
      </c>
      <c r="T20" s="6">
        <f t="shared" si="180"/>
        <v>-0.78218510786360518</v>
      </c>
      <c r="U20" s="6">
        <f t="shared" ref="U20" si="181">U18/U19</f>
        <v>-0.85107863604732048</v>
      </c>
      <c r="V20" s="6">
        <f t="shared" ref="V20" si="182">V18/V19</f>
        <v>-1.650661099512875</v>
      </c>
      <c r="W20" s="6">
        <f t="shared" ref="W20:X20" si="183">W18/W19</f>
        <v>-1.3437717466945029</v>
      </c>
      <c r="X20" s="6">
        <f t="shared" si="183"/>
        <v>-0.74808629088378598</v>
      </c>
      <c r="Y20" s="6">
        <f t="shared" ref="Y20" si="184">Y18/Y19</f>
        <v>-2.2971468336812806</v>
      </c>
      <c r="Z20" s="6">
        <f t="shared" ref="Z20:AA20" si="185">Z18/Z19</f>
        <v>-0.54418928322894933</v>
      </c>
      <c r="AA20" s="6">
        <f t="shared" si="185"/>
        <v>-0.35351426583159401</v>
      </c>
      <c r="AB20" s="6">
        <f t="shared" ref="AB20:AD20" si="186">AB18/AB19</f>
        <v>-0.23729993041057826</v>
      </c>
      <c r="AC20" s="6">
        <f t="shared" si="186"/>
        <v>-6.1421670117321039E-2</v>
      </c>
      <c r="AD20" s="6">
        <f t="shared" si="186"/>
        <v>-0.24400274160383781</v>
      </c>
      <c r="AE20" s="6">
        <f t="shared" ref="AE20:AH20" si="187">AE18/AE19</f>
        <v>-0.18690313778990478</v>
      </c>
      <c r="AF20" s="6">
        <f t="shared" si="187"/>
        <v>-6.5081527967257802E-2</v>
      </c>
      <c r="AG20" s="6">
        <f t="shared" si="187"/>
        <v>9.775672578444819E-2</v>
      </c>
      <c r="AH20" s="6">
        <f t="shared" si="187"/>
        <v>9.8132496589359103E-2</v>
      </c>
      <c r="AJ20" s="6">
        <f t="shared" si="177"/>
        <v>-6.9600000000000092E-2</v>
      </c>
      <c r="AK20" s="6">
        <f t="shared" si="177"/>
        <v>-0.47487999999999925</v>
      </c>
      <c r="AL20" s="6">
        <f t="shared" si="177"/>
        <v>-0.13560000000000036</v>
      </c>
      <c r="AM20" s="6">
        <f t="shared" ref="AM20" si="188">AM18/AM19</f>
        <v>1.9391999999999983</v>
      </c>
      <c r="AN20" s="6">
        <f t="shared" ref="AN20" si="189">AN18/AN19</f>
        <v>-3.9864000000000028</v>
      </c>
      <c r="AO20" s="6">
        <f t="shared" ref="AO20" si="190">AO18/AO19</f>
        <v>-5.671199999999998</v>
      </c>
      <c r="AP20" s="6">
        <f t="shared" ref="AP20" si="191">AP18/AP19</f>
        <v>-0.88690884167237971</v>
      </c>
      <c r="AQ20" s="6">
        <f t="shared" ref="AQ20" si="192">AQ18/AQ19</f>
        <v>-5.6095443383361428E-2</v>
      </c>
      <c r="AR20" s="6">
        <f t="shared" ref="AR20" si="193">AR18/AR19</f>
        <v>1.3412998155525215</v>
      </c>
      <c r="AS20" s="6">
        <f t="shared" ref="AS20" si="194">AS18/AS19</f>
        <v>2.3360026566766687</v>
      </c>
      <c r="AT20" s="6">
        <f t="shared" ref="AT20" si="195">AT18/AT19</f>
        <v>3.1786600056401624</v>
      </c>
      <c r="AU20" s="6">
        <f t="shared" ref="AU20" si="196">AU18/AU19</f>
        <v>3.4879684963066713</v>
      </c>
      <c r="AV20" s="6">
        <f t="shared" ref="AV20:AW20" si="197">AV18/AV19</f>
        <v>3.709200844187531</v>
      </c>
      <c r="AW20" s="6">
        <f t="shared" si="197"/>
        <v>3.8396574628312115</v>
      </c>
      <c r="AX20" s="6">
        <f t="shared" ref="AX20:BA20" si="198">AX18/AX19</f>
        <v>3.9734000934094906</v>
      </c>
      <c r="AY20" s="6">
        <f t="shared" si="198"/>
        <v>4.110504649563004</v>
      </c>
      <c r="AZ20" s="6">
        <f t="shared" si="198"/>
        <v>4.2510487678774043</v>
      </c>
      <c r="BA20" s="6">
        <f t="shared" si="198"/>
        <v>4.3951118474711306</v>
      </c>
    </row>
    <row r="22" spans="2:163" x14ac:dyDescent="0.3">
      <c r="B22" t="s">
        <v>45</v>
      </c>
      <c r="G22" s="9">
        <f t="shared" ref="G22:N22" si="199">G3/C3-1</f>
        <v>0.78695073235685742</v>
      </c>
      <c r="H22" s="9">
        <f t="shared" si="199"/>
        <v>0.85714285714285698</v>
      </c>
      <c r="I22" s="9">
        <f t="shared" si="199"/>
        <v>0.79120879120879151</v>
      </c>
      <c r="J22" s="9">
        <f t="shared" si="199"/>
        <v>0.71466314398943198</v>
      </c>
      <c r="K22" s="9">
        <f t="shared" si="199"/>
        <v>0.73323397913561861</v>
      </c>
      <c r="L22" s="9">
        <f t="shared" si="199"/>
        <v>0.45974955277280882</v>
      </c>
      <c r="M22" s="9">
        <f t="shared" si="199"/>
        <v>0.78025655326268795</v>
      </c>
      <c r="N22" s="9">
        <f t="shared" si="199"/>
        <v>0.8151001540832048</v>
      </c>
      <c r="O22" s="9">
        <f t="shared" ref="O22:O24" si="200">O3/K3-1</f>
        <v>1.0055889939810836</v>
      </c>
      <c r="P22" s="9">
        <f t="shared" ref="P22:P24" si="201">P3/L3-1</f>
        <v>1.174428104575163</v>
      </c>
      <c r="Q22" s="9">
        <f t="shared" ref="Q22:Q24" si="202">Q3/M3-1</f>
        <v>0.82487468671679198</v>
      </c>
      <c r="R22" s="9">
        <f t="shared" ref="R22:R24" si="203">R3/N3-1</f>
        <v>0.49320882852292036</v>
      </c>
      <c r="S22" s="9">
        <f t="shared" ref="S22:S24" si="204">S3/O3-1</f>
        <v>0.38670953912111461</v>
      </c>
      <c r="T22" s="9">
        <f t="shared" ref="T22:T24" si="205">T3/P3-1</f>
        <v>0.25737366146909646</v>
      </c>
      <c r="U22" s="9">
        <f t="shared" ref="U22:U24" si="206">U3/Q3-1</f>
        <v>0.14540772532188839</v>
      </c>
      <c r="V22" s="9">
        <f t="shared" ref="V22:V24" si="207">V3/R3-1</f>
        <v>3.9368959636156831E-2</v>
      </c>
      <c r="W22" s="9">
        <f t="shared" ref="W22:W24" si="208">W3/S3-1</f>
        <v>-1.9013757922399011E-2</v>
      </c>
      <c r="X22" s="9">
        <f t="shared" ref="X22:X24" si="209">X3/T3-1</f>
        <v>0.11145973405050058</v>
      </c>
      <c r="Y22" s="9">
        <f t="shared" ref="Y22:Y24" si="210">Y3/U3-1</f>
        <v>0.1792565947242204</v>
      </c>
      <c r="Z22" s="9">
        <f t="shared" ref="Z22:Z24" si="211">Z3/V3-1</f>
        <v>0.13346095993436347</v>
      </c>
      <c r="AA22" s="9">
        <f t="shared" ref="AA22:AA24" si="212">AA3/W3-1</f>
        <v>0.18956823195713834</v>
      </c>
      <c r="AB22" s="9">
        <f t="shared" ref="AB22:AB24" si="213">AB3/X3-1</f>
        <v>0.10807904288210768</v>
      </c>
      <c r="AC22" s="9">
        <f t="shared" ref="AC22:AC24" si="214">AC3/Y3-1</f>
        <v>0.15429588205388933</v>
      </c>
      <c r="AD22" s="9">
        <f t="shared" ref="AD22:AD24" si="215">AD3/Z3-1</f>
        <v>0.24900470503076355</v>
      </c>
      <c r="AE22" s="9">
        <f t="shared" ref="AE22:AE24" si="216">AE3/AA3-1</f>
        <v>0.16677705656378317</v>
      </c>
      <c r="AF22" s="9">
        <f t="shared" ref="AF22:AF24" si="217">AF3/AB3-1</f>
        <v>0.14999999999999991</v>
      </c>
      <c r="AG22" s="9">
        <f t="shared" ref="AG22:AG24" si="218">AG3/AC3-1</f>
        <v>0.12999999999999967</v>
      </c>
      <c r="AH22" s="9">
        <f t="shared" ref="AH22:AH24" si="219">AH3/AD3-1</f>
        <v>0.10000000000000009</v>
      </c>
      <c r="AK22" s="9">
        <f>AK3/AJ3-1</f>
        <v>0.7769249220436556</v>
      </c>
      <c r="AL22" s="9">
        <f>AL3/AK3-1</f>
        <v>0.71139308855291583</v>
      </c>
      <c r="AM22" s="9">
        <f t="shared" ref="AM22:AW22" si="220">AM3/AL3-1</f>
        <v>0.80225587632118645</v>
      </c>
      <c r="AN22" s="9">
        <f t="shared" si="220"/>
        <v>0.1881045122324827</v>
      </c>
      <c r="AO22" s="9">
        <f t="shared" si="220"/>
        <v>0.10295796957306536</v>
      </c>
      <c r="AP22" s="9">
        <f t="shared" si="220"/>
        <v>0.17650791530291876</v>
      </c>
      <c r="AQ22" s="9">
        <f t="shared" si="220"/>
        <v>0.13374428705254493</v>
      </c>
      <c r="AR22" s="9">
        <f t="shared" si="220"/>
        <v>0.10000000000000009</v>
      </c>
      <c r="AS22" s="9">
        <f t="shared" si="220"/>
        <v>8.0000000000000071E-2</v>
      </c>
      <c r="AT22" s="9">
        <f t="shared" si="220"/>
        <v>6.0000000000000053E-2</v>
      </c>
      <c r="AU22" s="9">
        <f t="shared" si="220"/>
        <v>4.0000000000000036E-2</v>
      </c>
      <c r="AV22" s="9">
        <f t="shared" si="220"/>
        <v>3.0000000000000027E-2</v>
      </c>
      <c r="AW22" s="9">
        <f t="shared" si="220"/>
        <v>2.0000000000000018E-2</v>
      </c>
      <c r="AX22" s="9">
        <f t="shared" ref="AX22:AX24" si="221">AX3/AW3-1</f>
        <v>2.0000000000000018E-2</v>
      </c>
      <c r="AY22" s="9">
        <f t="shared" ref="AY22:AY24" si="222">AY3/AX3-1</f>
        <v>2.0000000000000018E-2</v>
      </c>
      <c r="AZ22" s="9">
        <f t="shared" ref="AZ22:AZ24" si="223">AZ3/AY3-1</f>
        <v>2.0000000000000018E-2</v>
      </c>
      <c r="BA22" s="9">
        <f t="shared" ref="BA22:BA24" si="224">BA3/AZ3-1</f>
        <v>2.0000000000000018E-2</v>
      </c>
    </row>
    <row r="23" spans="2:163" x14ac:dyDescent="0.3">
      <c r="B23" t="s">
        <v>46</v>
      </c>
      <c r="G23" s="9">
        <f t="shared" ref="G23:N23" si="225">G4/C4-1</f>
        <v>0.17886178861788626</v>
      </c>
      <c r="H23" s="9">
        <f t="shared" si="225"/>
        <v>0.23909774436090236</v>
      </c>
      <c r="I23" s="9">
        <f t="shared" si="225"/>
        <v>0.11323328785811726</v>
      </c>
      <c r="J23" s="9">
        <f t="shared" si="225"/>
        <v>0.21962992759452926</v>
      </c>
      <c r="K23" s="9">
        <f t="shared" si="225"/>
        <v>0.21655172413793111</v>
      </c>
      <c r="L23" s="9">
        <f t="shared" si="225"/>
        <v>0.35072815533980561</v>
      </c>
      <c r="M23" s="9">
        <f t="shared" si="225"/>
        <v>0.62254901960784337</v>
      </c>
      <c r="N23" s="9">
        <f t="shared" si="225"/>
        <v>0.1787598944591029</v>
      </c>
      <c r="O23" s="9">
        <f t="shared" si="200"/>
        <v>0.22108843537414957</v>
      </c>
      <c r="P23" s="9">
        <f t="shared" si="201"/>
        <v>1.3477088948786964E-2</v>
      </c>
      <c r="Q23" s="9">
        <f t="shared" si="202"/>
        <v>-0.2643504531722054</v>
      </c>
      <c r="R23" s="9">
        <f t="shared" si="203"/>
        <v>-9.5131505316172316E-2</v>
      </c>
      <c r="S23" s="9">
        <f t="shared" si="204"/>
        <v>-0.19405756731662027</v>
      </c>
      <c r="T23" s="9">
        <f t="shared" si="205"/>
        <v>-0.15602836879432624</v>
      </c>
      <c r="U23" s="9">
        <f t="shared" si="206"/>
        <v>-3.2854209445585258E-2</v>
      </c>
      <c r="V23" s="9">
        <f t="shared" si="207"/>
        <v>-0.16017316017316008</v>
      </c>
      <c r="W23" s="9">
        <f t="shared" si="208"/>
        <v>0.22580645161290325</v>
      </c>
      <c r="X23" s="9">
        <f t="shared" si="209"/>
        <v>8.6134453781512743E-2</v>
      </c>
      <c r="Y23" s="9">
        <f t="shared" si="210"/>
        <v>0.32908704883227169</v>
      </c>
      <c r="Z23" s="9">
        <f t="shared" si="211"/>
        <v>0.14580265095729006</v>
      </c>
      <c r="AA23" s="9">
        <f t="shared" si="212"/>
        <v>0.18890977443609014</v>
      </c>
      <c r="AB23" s="9">
        <f t="shared" si="213"/>
        <v>0.39071566731141205</v>
      </c>
      <c r="AC23" s="9">
        <f t="shared" si="214"/>
        <v>0.23003194888178902</v>
      </c>
      <c r="AD23" s="9">
        <f t="shared" si="215"/>
        <v>6.4910025706940822E-2</v>
      </c>
      <c r="AE23" s="9">
        <f t="shared" si="216"/>
        <v>0.10592885375494077</v>
      </c>
      <c r="AF23" s="9">
        <f t="shared" si="217"/>
        <v>7.0000000000000062E-2</v>
      </c>
      <c r="AG23" s="9">
        <f t="shared" si="218"/>
        <v>3.0000000000000027E-2</v>
      </c>
      <c r="AH23" s="9">
        <f t="shared" si="219"/>
        <v>3.0000000000000027E-2</v>
      </c>
      <c r="AK23" s="9">
        <f t="shared" ref="AK23:AL23" si="226">AK4/AJ4-1</f>
        <v>0.19195331695331697</v>
      </c>
      <c r="AL23" s="9">
        <f t="shared" si="226"/>
        <v>0.31564029889203793</v>
      </c>
      <c r="AM23" s="9">
        <f t="shared" ref="AM23:AW23" si="227">AM4/AL4-1</f>
        <v>-6.0712886799843324E-2</v>
      </c>
      <c r="AN23" s="9">
        <f t="shared" si="227"/>
        <v>-0.14095079232693908</v>
      </c>
      <c r="AO23" s="9">
        <f t="shared" si="227"/>
        <v>0.1907766990291262</v>
      </c>
      <c r="AP23" s="9">
        <f t="shared" si="227"/>
        <v>0.20260905014268227</v>
      </c>
      <c r="AQ23" s="9">
        <f t="shared" si="227"/>
        <v>5.6028813559322099E-2</v>
      </c>
      <c r="AR23" s="9">
        <f t="shared" si="227"/>
        <v>4.0000000000000036E-2</v>
      </c>
      <c r="AS23" s="9">
        <f t="shared" si="227"/>
        <v>3.0000000000000027E-2</v>
      </c>
      <c r="AT23" s="9">
        <f t="shared" si="227"/>
        <v>2.0000000000000018E-2</v>
      </c>
      <c r="AU23" s="9">
        <f t="shared" si="227"/>
        <v>2.0000000000000018E-2</v>
      </c>
      <c r="AV23" s="9">
        <f t="shared" si="227"/>
        <v>2.0000000000000018E-2</v>
      </c>
      <c r="AW23" s="9">
        <f t="shared" si="227"/>
        <v>1.0000000000000009E-2</v>
      </c>
      <c r="AX23" s="9">
        <f t="shared" si="221"/>
        <v>1.0000000000000009E-2</v>
      </c>
      <c r="AY23" s="9">
        <f t="shared" si="222"/>
        <v>1.0000000000000009E-2</v>
      </c>
      <c r="AZ23" s="9">
        <f t="shared" si="223"/>
        <v>1.0000000000000009E-2</v>
      </c>
      <c r="BA23" s="9">
        <f t="shared" si="224"/>
        <v>1.0000000000000009E-2</v>
      </c>
    </row>
    <row r="24" spans="2:163" x14ac:dyDescent="0.3">
      <c r="B24" s="1" t="s">
        <v>40</v>
      </c>
      <c r="G24" s="9">
        <f>G5/C5-1</f>
        <v>0.51317715959004384</v>
      </c>
      <c r="H24" s="9">
        <f t="shared" ref="H24:N24" si="228">H5/D5-1</f>
        <v>0.59502551020408156</v>
      </c>
      <c r="I24" s="9">
        <f t="shared" si="228"/>
        <v>0.50461361014994233</v>
      </c>
      <c r="J24" s="9">
        <f t="shared" si="228"/>
        <v>0.49147624229234688</v>
      </c>
      <c r="K24" s="9">
        <f t="shared" si="228"/>
        <v>0.5520077406869861</v>
      </c>
      <c r="L24" s="9">
        <f t="shared" si="228"/>
        <v>0.42383046781287503</v>
      </c>
      <c r="M24" s="9">
        <f t="shared" si="228"/>
        <v>0.73093139133767759</v>
      </c>
      <c r="N24" s="9">
        <f t="shared" si="228"/>
        <v>0.58049610894941606</v>
      </c>
      <c r="O24" s="9">
        <f t="shared" si="200"/>
        <v>0.78990024937655878</v>
      </c>
      <c r="P24" s="9">
        <f t="shared" si="201"/>
        <v>0.811569783768604</v>
      </c>
      <c r="Q24" s="9">
        <f t="shared" si="202"/>
        <v>0.50553587245349862</v>
      </c>
      <c r="R24" s="9">
        <f t="shared" si="203"/>
        <v>0.33143560547776585</v>
      </c>
      <c r="S24" s="9">
        <f t="shared" si="204"/>
        <v>0.27777777777777746</v>
      </c>
      <c r="T24" s="9">
        <f t="shared" si="205"/>
        <v>0.18508758332041553</v>
      </c>
      <c r="U24" s="9">
        <f t="shared" si="206"/>
        <v>0.11987056920135331</v>
      </c>
      <c r="V24" s="9">
        <f t="shared" si="207"/>
        <v>2.0802033976654588E-3</v>
      </c>
      <c r="W24" s="9">
        <f t="shared" si="208"/>
        <v>9.9495706692109831E-3</v>
      </c>
      <c r="X24" s="9">
        <f t="shared" si="209"/>
        <v>0.10830608240680184</v>
      </c>
      <c r="Y24" s="9">
        <f t="shared" si="210"/>
        <v>0.19779353821907009</v>
      </c>
      <c r="Z24" s="9">
        <f t="shared" si="211"/>
        <v>0.13539384154076828</v>
      </c>
      <c r="AA24" s="9">
        <f t="shared" si="212"/>
        <v>0.18947368421052624</v>
      </c>
      <c r="AB24" s="9">
        <f t="shared" si="213"/>
        <v>0.14257051811636967</v>
      </c>
      <c r="AC24" s="9">
        <f t="shared" si="214"/>
        <v>0.1646929824561405</v>
      </c>
      <c r="AD24" s="9">
        <f t="shared" si="215"/>
        <v>0.21990858303707461</v>
      </c>
      <c r="AE24" s="9">
        <f t="shared" si="216"/>
        <v>0.15804402087587932</v>
      </c>
      <c r="AF24" s="9">
        <f t="shared" si="217"/>
        <v>0.13811693006920778</v>
      </c>
      <c r="AG24" s="9">
        <f t="shared" si="218"/>
        <v>0.11550178874035022</v>
      </c>
      <c r="AH24" s="9">
        <f t="shared" si="219"/>
        <v>9.0342214820982703E-2</v>
      </c>
      <c r="AK24" s="9">
        <f t="shared" ref="AK24:AL24" si="229">AK5/AJ5-1</f>
        <v>0.52040404040404042</v>
      </c>
      <c r="AL24" s="9">
        <f t="shared" si="229"/>
        <v>0.5753388254052616</v>
      </c>
      <c r="AM24" s="9">
        <f t="shared" ref="AM24:AW24" si="230">AM5/AL5-1</f>
        <v>0.55448717948717952</v>
      </c>
      <c r="AN24" s="9">
        <f t="shared" si="230"/>
        <v>0.13101826731777888</v>
      </c>
      <c r="AO24" s="9">
        <f t="shared" si="230"/>
        <v>0.11452969584546024</v>
      </c>
      <c r="AP24" s="9">
        <f t="shared" si="230"/>
        <v>0.18018250688705217</v>
      </c>
      <c r="AQ24" s="9">
        <f t="shared" si="230"/>
        <v>0.12259537530089704</v>
      </c>
      <c r="AR24" s="9">
        <f t="shared" si="230"/>
        <v>9.1902914034488026E-2</v>
      </c>
      <c r="AS24" s="9">
        <f t="shared" si="230"/>
        <v>7.3573169909846303E-2</v>
      </c>
      <c r="AT24" s="9">
        <f t="shared" si="230"/>
        <v>5.5067212796747311E-2</v>
      </c>
      <c r="AU24" s="9">
        <f t="shared" si="230"/>
        <v>3.7615581791239361E-2</v>
      </c>
      <c r="AV24" s="9">
        <f t="shared" si="230"/>
        <v>2.88280310089708E-2</v>
      </c>
      <c r="AW24" s="9">
        <f t="shared" si="230"/>
        <v>1.8838087284930083E-2</v>
      </c>
      <c r="AX24" s="9">
        <f t="shared" si="221"/>
        <v>1.8848166497831054E-2</v>
      </c>
      <c r="AY24" s="9">
        <f t="shared" si="222"/>
        <v>1.8858169572813166E-2</v>
      </c>
      <c r="AZ24" s="9">
        <f t="shared" si="223"/>
        <v>1.8868096889342212E-2</v>
      </c>
      <c r="BA24" s="9">
        <f t="shared" si="224"/>
        <v>1.8877948828454949E-2</v>
      </c>
    </row>
    <row r="25" spans="2:163" x14ac:dyDescent="0.3">
      <c r="B25" t="s">
        <v>43</v>
      </c>
      <c r="C25" s="9">
        <f>(C3-C6)/C3</f>
        <v>0.71105193075898798</v>
      </c>
      <c r="D25" s="9">
        <f t="shared" ref="D25:N25" si="231">(D3-D6)/D3</f>
        <v>0.69767441860465118</v>
      </c>
      <c r="E25" s="9">
        <f t="shared" si="231"/>
        <v>0.70529470529470528</v>
      </c>
      <c r="F25" s="9">
        <f t="shared" si="231"/>
        <v>0.72258916776750326</v>
      </c>
      <c r="G25" s="9">
        <f t="shared" si="231"/>
        <v>0.69895678092399394</v>
      </c>
      <c r="H25" s="9">
        <f t="shared" si="231"/>
        <v>0.654144305307096</v>
      </c>
      <c r="I25" s="9">
        <f t="shared" si="231"/>
        <v>0.62576687116564422</v>
      </c>
      <c r="J25" s="9">
        <f t="shared" si="231"/>
        <v>0.62557781201849005</v>
      </c>
      <c r="K25" s="9">
        <f t="shared" si="231"/>
        <v>0.56190885640584687</v>
      </c>
      <c r="L25" s="9">
        <f t="shared" si="231"/>
        <v>0.56576797385620914</v>
      </c>
      <c r="M25" s="9">
        <f t="shared" si="231"/>
        <v>0.60964912280701755</v>
      </c>
      <c r="N25" s="9">
        <f t="shared" si="231"/>
        <v>0.63858234295415961</v>
      </c>
      <c r="O25" s="9">
        <f t="shared" ref="O25:R25" si="232">(O3-O6)/O3</f>
        <v>0.66859592711682736</v>
      </c>
      <c r="P25" s="9">
        <f t="shared" si="232"/>
        <v>0.6481307533345857</v>
      </c>
      <c r="Q25" s="9">
        <f t="shared" si="232"/>
        <v>0.6497854077253219</v>
      </c>
      <c r="R25" s="9">
        <f t="shared" si="232"/>
        <v>0.60488914155770324</v>
      </c>
      <c r="S25" s="9">
        <f t="shared" ref="S25:AA25" si="233">(S3-S6)/S3</f>
        <v>0.58726232802597</v>
      </c>
      <c r="T25" s="9">
        <f t="shared" si="233"/>
        <v>0.55909158822650529</v>
      </c>
      <c r="U25" s="9">
        <f t="shared" si="233"/>
        <v>0.55695443645083931</v>
      </c>
      <c r="V25" s="9">
        <f t="shared" si="233"/>
        <v>0.55791057021742096</v>
      </c>
      <c r="W25" s="9">
        <f t="shared" si="233"/>
        <v>0.52631578947368418</v>
      </c>
      <c r="X25" s="9">
        <f t="shared" si="233"/>
        <v>0.532195187525205</v>
      </c>
      <c r="Y25" s="9">
        <f t="shared" si="233"/>
        <v>0.48068124046771726</v>
      </c>
      <c r="Z25" s="9">
        <f t="shared" si="233"/>
        <v>0.55314271926649783</v>
      </c>
      <c r="AA25" s="9">
        <f t="shared" si="233"/>
        <v>0.52232083719697964</v>
      </c>
      <c r="AB25" s="9">
        <f t="shared" ref="AB25:AD25" si="234">(AB3-AB6)/AB3</f>
        <v>0.53354361276234374</v>
      </c>
      <c r="AC25" s="9">
        <f t="shared" si="234"/>
        <v>0.54151068046685757</v>
      </c>
      <c r="AD25" s="9">
        <f t="shared" si="234"/>
        <v>0.54080942721916347</v>
      </c>
      <c r="AE25" s="9">
        <f t="shared" ref="AE25:AH25" si="235">(AE3-AE6)/AE3</f>
        <v>0.52713442325158943</v>
      </c>
      <c r="AF25" s="9">
        <f t="shared" si="235"/>
        <v>0.53</v>
      </c>
      <c r="AG25" s="9">
        <f t="shared" si="235"/>
        <v>0.54</v>
      </c>
      <c r="AH25" s="9">
        <f t="shared" si="235"/>
        <v>0.53999999999999992</v>
      </c>
      <c r="AJ25" s="9">
        <f t="shared" ref="AJ25" si="236">(AJ3-AJ6)/AJ3</f>
        <v>0.71096186135763972</v>
      </c>
      <c r="AK25" s="9">
        <f t="shared" ref="AK25:AL25" si="237">(AK3-AK6)/AK3</f>
        <v>0.64538336933045359</v>
      </c>
      <c r="AL25" s="9">
        <f t="shared" si="237"/>
        <v>0.60317084713677238</v>
      </c>
      <c r="AM25" s="9">
        <f t="shared" ref="AM25:AV25" si="238">(AM3-AM6)/AM3</f>
        <v>0.63941529169766731</v>
      </c>
      <c r="AN25" s="9">
        <f t="shared" si="238"/>
        <v>0.56496113751059041</v>
      </c>
      <c r="AO25" s="9">
        <f t="shared" si="238"/>
        <v>0.52321154231514266</v>
      </c>
      <c r="AP25" s="9">
        <f t="shared" si="238"/>
        <v>0.53532801544270014</v>
      </c>
      <c r="AQ25" s="9">
        <f t="shared" si="238"/>
        <v>0.53478911403834051</v>
      </c>
      <c r="AR25" s="9">
        <f t="shared" si="238"/>
        <v>0.55000000000000004</v>
      </c>
      <c r="AS25" s="9">
        <f t="shared" si="238"/>
        <v>0.55000000000000004</v>
      </c>
      <c r="AT25" s="9">
        <f t="shared" si="238"/>
        <v>0.54999999999999993</v>
      </c>
      <c r="AU25" s="9">
        <f t="shared" si="238"/>
        <v>0.55000000000000004</v>
      </c>
      <c r="AV25" s="9">
        <f t="shared" si="238"/>
        <v>0.54999999999999993</v>
      </c>
      <c r="AW25" s="9">
        <f t="shared" ref="AW25:BA25" si="239">(AW3-AW6)/AW3</f>
        <v>0.54999999999999993</v>
      </c>
      <c r="AX25" s="9">
        <f t="shared" si="239"/>
        <v>0.54999999999999993</v>
      </c>
      <c r="AY25" s="9">
        <f t="shared" si="239"/>
        <v>0.55000000000000004</v>
      </c>
      <c r="AZ25" s="9">
        <f t="shared" si="239"/>
        <v>0.55000000000000004</v>
      </c>
      <c r="BA25" s="9">
        <f t="shared" si="239"/>
        <v>0.55000000000000004</v>
      </c>
      <c r="BC25" t="s">
        <v>47</v>
      </c>
      <c r="BD25" s="9">
        <v>-0.01</v>
      </c>
    </row>
    <row r="26" spans="2:163" x14ac:dyDescent="0.3">
      <c r="B26" t="s">
        <v>44</v>
      </c>
      <c r="C26" s="9">
        <f t="shared" ref="C26:N26" si="240">(C4-C7)/C4</f>
        <v>0.15772357723577241</v>
      </c>
      <c r="D26" s="9">
        <f t="shared" si="240"/>
        <v>0.22255639097744356</v>
      </c>
      <c r="E26" s="9">
        <f t="shared" si="240"/>
        <v>0.11459754433833549</v>
      </c>
      <c r="F26" s="9">
        <f t="shared" si="240"/>
        <v>2.3330651649235652E-2</v>
      </c>
      <c r="G26" s="9">
        <f t="shared" si="240"/>
        <v>9.7931034482758542E-2</v>
      </c>
      <c r="H26" s="9">
        <f t="shared" si="240"/>
        <v>5.461165048543689E-2</v>
      </c>
      <c r="I26" s="9">
        <f t="shared" si="240"/>
        <v>7.5980392156862614E-2</v>
      </c>
      <c r="J26" s="9">
        <f t="shared" si="240"/>
        <v>-4.617414248021221E-3</v>
      </c>
      <c r="K26" s="9">
        <f t="shared" si="240"/>
        <v>0.11904761904761904</v>
      </c>
      <c r="L26" s="9">
        <f t="shared" si="240"/>
        <v>7.5471698113207475E-2</v>
      </c>
      <c r="M26" s="9">
        <f t="shared" si="240"/>
        <v>0.15181268882175233</v>
      </c>
      <c r="N26" s="9">
        <f t="shared" si="240"/>
        <v>2.5741466144376019E-2</v>
      </c>
      <c r="O26" s="9">
        <f t="shared" ref="O26:R26" si="241">(O4-O7)/O4</f>
        <v>0.13834726090993504</v>
      </c>
      <c r="P26" s="9">
        <f t="shared" si="241"/>
        <v>-5.9397163120567399E-2</v>
      </c>
      <c r="Q26" s="9">
        <f t="shared" si="241"/>
        <v>-0.14989733059548249</v>
      </c>
      <c r="R26" s="9">
        <f t="shared" si="241"/>
        <v>-0.28447742733457021</v>
      </c>
      <c r="S26" s="9">
        <f t="shared" ref="S26:AA26" si="242">(S4-S7)/S4</f>
        <v>-0.1739631336405531</v>
      </c>
      <c r="T26" s="9">
        <f t="shared" si="242"/>
        <v>-0.19957983193277309</v>
      </c>
      <c r="U26" s="9">
        <f t="shared" si="242"/>
        <v>-0.1571125265392781</v>
      </c>
      <c r="V26" s="9">
        <f t="shared" si="242"/>
        <v>-0.32106038291605293</v>
      </c>
      <c r="W26" s="9">
        <f t="shared" si="242"/>
        <v>3.3834586466165495E-2</v>
      </c>
      <c r="X26" s="9">
        <f t="shared" si="242"/>
        <v>-0.16924564796905223</v>
      </c>
      <c r="Y26" s="9">
        <f t="shared" si="242"/>
        <v>-7.5079872204472778E-2</v>
      </c>
      <c r="Z26" s="9">
        <f t="shared" si="242"/>
        <v>-0.13174807197943444</v>
      </c>
      <c r="AA26" s="9">
        <f t="shared" si="242"/>
        <v>-4.8221343873517744E-2</v>
      </c>
      <c r="AB26" s="9">
        <f t="shared" ref="AB26:AD26" si="243">(AB4-AB7)/AB4</f>
        <v>-0.10570236439499296</v>
      </c>
      <c r="AC26" s="9">
        <f t="shared" si="243"/>
        <v>-7.5974025974025902E-2</v>
      </c>
      <c r="AD26" s="9">
        <f t="shared" si="243"/>
        <v>-0.28605914302957158</v>
      </c>
      <c r="AE26" s="9">
        <f t="shared" ref="AE26:AH26" si="244">(AE4-AE7)/AE4</f>
        <v>-0.1372408863473909</v>
      </c>
      <c r="AF26" s="9">
        <f t="shared" si="244"/>
        <v>-7.0000000000000048E-2</v>
      </c>
      <c r="AG26" s="9">
        <f t="shared" si="244"/>
        <v>-9.0000000000000024E-2</v>
      </c>
      <c r="AH26" s="9">
        <f t="shared" si="244"/>
        <v>-0.19999999999999996</v>
      </c>
      <c r="AJ26" s="9">
        <f t="shared" ref="AJ26" si="245">(AJ4-AJ7)/AJ4</f>
        <v>0.10995085995085997</v>
      </c>
      <c r="AK26" s="9">
        <f t="shared" ref="AK26:AL26" si="246">(AK4-AK7)/AK4</f>
        <v>4.4060809069827421E-2</v>
      </c>
      <c r="AL26" s="9">
        <f t="shared" si="246"/>
        <v>8.538973756365055E-2</v>
      </c>
      <c r="AM26" s="9">
        <f t="shared" ref="AM26:AV26" si="247">(AM4-AM7)/AM4</f>
        <v>-0.10925771476230199</v>
      </c>
      <c r="AN26" s="9">
        <f t="shared" si="247"/>
        <v>-0.22451456310679613</v>
      </c>
      <c r="AO26" s="9">
        <f t="shared" si="247"/>
        <v>-8.92784345699143E-2</v>
      </c>
      <c r="AP26" s="9">
        <f t="shared" si="247"/>
        <v>-0.13627118644067793</v>
      </c>
      <c r="AQ26" s="9">
        <f t="shared" si="247"/>
        <v>-0.12580007928648587</v>
      </c>
      <c r="AR26" s="9">
        <f t="shared" si="247"/>
        <v>-4.9999999999999968E-2</v>
      </c>
      <c r="AS26" s="9">
        <f t="shared" si="247"/>
        <v>-1.0000000000000059E-2</v>
      </c>
      <c r="AT26" s="9">
        <f t="shared" si="247"/>
        <v>9.999999999999936E-3</v>
      </c>
      <c r="AU26" s="9">
        <f t="shared" si="247"/>
        <v>9.9999999999999534E-3</v>
      </c>
      <c r="AV26" s="9">
        <f t="shared" si="247"/>
        <v>1.0000000000000049E-2</v>
      </c>
      <c r="AW26" s="9">
        <f t="shared" ref="AW26:BA26" si="248">(AW4-AW7)/AW4</f>
        <v>9.9999999999999846E-3</v>
      </c>
      <c r="AX26" s="9">
        <f t="shared" si="248"/>
        <v>9.9999999999999811E-3</v>
      </c>
      <c r="AY26" s="9">
        <f t="shared" si="248"/>
        <v>1.0000000000000071E-2</v>
      </c>
      <c r="AZ26" s="9">
        <f t="shared" si="248"/>
        <v>9.9999999999999933E-3</v>
      </c>
      <c r="BA26" s="9">
        <f t="shared" si="248"/>
        <v>9.9999999999999707E-3</v>
      </c>
      <c r="BC26" t="s">
        <v>48</v>
      </c>
      <c r="BD26" s="9">
        <v>0.09</v>
      </c>
    </row>
    <row r="27" spans="2:163" x14ac:dyDescent="0.3">
      <c r="B27" s="1" t="s">
        <v>39</v>
      </c>
      <c r="C27" s="9">
        <f>C9/C5</f>
        <v>0.46193265007320644</v>
      </c>
      <c r="D27" s="9">
        <f t="shared" ref="D27:G27" si="249">D9/D5</f>
        <v>0.49617346938775514</v>
      </c>
      <c r="E27" s="9">
        <f t="shared" si="249"/>
        <v>0.45559400230680497</v>
      </c>
      <c r="F27" s="9">
        <f t="shared" si="249"/>
        <v>0.4073268044976423</v>
      </c>
      <c r="G27" s="9">
        <f t="shared" si="249"/>
        <v>0.48814707305273336</v>
      </c>
      <c r="H27" s="9">
        <f t="shared" ref="H27:N27" si="250">H9/H5</f>
        <v>0.45661735305877643</v>
      </c>
      <c r="I27" s="9">
        <f t="shared" si="250"/>
        <v>0.45381372173246448</v>
      </c>
      <c r="J27" s="9">
        <f t="shared" si="250"/>
        <v>0.39323929961089499</v>
      </c>
      <c r="K27" s="9">
        <f t="shared" si="250"/>
        <v>0.44014962593516205</v>
      </c>
      <c r="L27" s="9">
        <f>L9/L5</f>
        <v>0.41252457174950863</v>
      </c>
      <c r="M27" s="9">
        <f t="shared" si="250"/>
        <v>0.47542072630646598</v>
      </c>
      <c r="N27" s="9">
        <f t="shared" si="250"/>
        <v>0.47007231881827977</v>
      </c>
      <c r="O27" s="9">
        <f t="shared" ref="O27:R27" si="251">O9/O5</f>
        <v>0.56913967258794851</v>
      </c>
      <c r="P27" s="9">
        <f t="shared" si="251"/>
        <v>0.52441481940784362</v>
      </c>
      <c r="Q27" s="9">
        <f t="shared" si="251"/>
        <v>0.53522576849536696</v>
      </c>
      <c r="R27" s="9">
        <f t="shared" si="251"/>
        <v>0.4386917831965792</v>
      </c>
      <c r="S27" s="9">
        <f t="shared" ref="S27:AA27" si="252">S9/S5</f>
        <v>0.4972059424833038</v>
      </c>
      <c r="T27" s="9">
        <f t="shared" si="252"/>
        <v>0.46461739699149768</v>
      </c>
      <c r="U27" s="9">
        <f t="shared" si="252"/>
        <v>0.46861045442605731</v>
      </c>
      <c r="V27" s="9">
        <f t="shared" si="252"/>
        <v>0.42025141275516076</v>
      </c>
      <c r="W27" s="9">
        <f t="shared" si="252"/>
        <v>0.45560053981106607</v>
      </c>
      <c r="X27" s="9">
        <f t="shared" si="252"/>
        <v>0.4465950666824029</v>
      </c>
      <c r="Y27" s="9">
        <f t="shared" si="252"/>
        <v>0.40438596491228063</v>
      </c>
      <c r="Z27" s="9">
        <f t="shared" si="252"/>
        <v>0.44489588623666837</v>
      </c>
      <c r="AA27" s="9">
        <f t="shared" si="252"/>
        <v>0.44043567052416605</v>
      </c>
      <c r="AB27" s="9">
        <f t="shared" ref="AB27:AD27" si="253">AB9/AB5</f>
        <v>0.43859105464311532</v>
      </c>
      <c r="AC27" s="9">
        <f t="shared" si="253"/>
        <v>0.45198644323103004</v>
      </c>
      <c r="AD27" s="9">
        <f t="shared" si="253"/>
        <v>0.42672772689425481</v>
      </c>
      <c r="AE27" s="9">
        <f t="shared" ref="AE27:AH27" si="254">AE9/AE5</f>
        <v>0.4360732830410502</v>
      </c>
      <c r="AF27" s="9">
        <f t="shared" si="254"/>
        <v>0.44621103800924117</v>
      </c>
      <c r="AG27" s="9">
        <f t="shared" si="254"/>
        <v>0.45566226624333489</v>
      </c>
      <c r="AH27" s="9">
        <f t="shared" si="254"/>
        <v>0.44355368953517404</v>
      </c>
      <c r="AJ27" s="9">
        <f t="shared" ref="AJ27" si="255">AJ9/AJ5</f>
        <v>0.44740740740740736</v>
      </c>
      <c r="AK27" s="9">
        <f t="shared" ref="AK27:AL27" si="256">AK9/AK5</f>
        <v>0.4386570998316946</v>
      </c>
      <c r="AL27" s="9">
        <f t="shared" si="256"/>
        <v>0.45450967161493477</v>
      </c>
      <c r="AM27" s="9">
        <f t="shared" ref="AM27:AV27" si="257">AM9/AM5</f>
        <v>0.50953156086091511</v>
      </c>
      <c r="AN27" s="9">
        <f t="shared" si="257"/>
        <v>0.46093325231074295</v>
      </c>
      <c r="AO27" s="9">
        <f t="shared" si="257"/>
        <v>0.43698347107438018</v>
      </c>
      <c r="AP27" s="9">
        <f t="shared" si="257"/>
        <v>0.43898169086001887</v>
      </c>
      <c r="AQ27" s="9">
        <f t="shared" si="257"/>
        <v>0.44564165593435234</v>
      </c>
      <c r="AR27" s="9">
        <f t="shared" si="257"/>
        <v>0.47287803891815228</v>
      </c>
      <c r="AS27" s="9">
        <f t="shared" si="257"/>
        <v>0.48094097915446021</v>
      </c>
      <c r="AT27" s="9">
        <f t="shared" si="257"/>
        <v>0.4856207083634615</v>
      </c>
      <c r="AU27" s="9">
        <f t="shared" si="257"/>
        <v>0.48671367448442876</v>
      </c>
      <c r="AV27" s="9">
        <f t="shared" si="257"/>
        <v>0.48725671338622389</v>
      </c>
      <c r="AW27" s="9">
        <f t="shared" ref="AW27:BA27" si="258">AW9/AW5</f>
        <v>0.48780099088287082</v>
      </c>
      <c r="AX27" s="9">
        <f t="shared" si="258"/>
        <v>0.48834115693191055</v>
      </c>
      <c r="AY27" s="9">
        <f t="shared" si="258"/>
        <v>0.48887723202447192</v>
      </c>
      <c r="AZ27" s="9">
        <f t="shared" si="258"/>
        <v>0.48940923673657022</v>
      </c>
      <c r="BA27" s="9">
        <f t="shared" si="258"/>
        <v>0.4899371917250438</v>
      </c>
      <c r="BC27" t="s">
        <v>49</v>
      </c>
      <c r="BD27" s="5">
        <f>NPV(BD26,AP18:FG18)</f>
        <v>4717.683312157913</v>
      </c>
    </row>
    <row r="28" spans="2:163" x14ac:dyDescent="0.3">
      <c r="B28" t="s">
        <v>41</v>
      </c>
      <c r="C28" s="9">
        <f>C14/C5</f>
        <v>-5.0512445095168418E-2</v>
      </c>
      <c r="D28" s="9">
        <f t="shared" ref="D28:G28" si="259">D14/D5</f>
        <v>-6.3775510204078006E-4</v>
      </c>
      <c r="E28" s="9">
        <f t="shared" si="259"/>
        <v>-6.8050749711649525E-2</v>
      </c>
      <c r="F28" s="9">
        <f t="shared" si="259"/>
        <v>1.9949220166847973E-2</v>
      </c>
      <c r="G28" s="9">
        <f t="shared" si="259"/>
        <v>-5.1765844218674494E-2</v>
      </c>
      <c r="H28" s="9">
        <f t="shared" ref="H28:N28" si="260">H14/H5</f>
        <v>-4.1583366653338685E-2</v>
      </c>
      <c r="I28" s="9">
        <f t="shared" si="260"/>
        <v>-0.10233806055960146</v>
      </c>
      <c r="J28" s="9">
        <f t="shared" si="260"/>
        <v>-4.2071984435797551E-2</v>
      </c>
      <c r="K28" s="9">
        <f t="shared" si="260"/>
        <v>-0.17144638403990026</v>
      </c>
      <c r="L28" s="9">
        <f t="shared" si="260"/>
        <v>-0.11850603762987921</v>
      </c>
      <c r="M28" s="9">
        <f t="shared" si="260"/>
        <v>2.6129317980513815E-2</v>
      </c>
      <c r="N28" s="9">
        <f t="shared" si="260"/>
        <v>0.10032312663486689</v>
      </c>
      <c r="O28" s="9">
        <f t="shared" ref="O28:R28" si="261">O14/O5</f>
        <v>0.13200975269940798</v>
      </c>
      <c r="P28" s="9">
        <f t="shared" si="261"/>
        <v>0.10711517594171434</v>
      </c>
      <c r="Q28" s="9">
        <f t="shared" si="261"/>
        <v>0.10119135166936308</v>
      </c>
      <c r="R28" s="9">
        <f t="shared" si="261"/>
        <v>2.461574020570895E-2</v>
      </c>
      <c r="S28" s="9">
        <f t="shared" ref="S28:AA28" si="262">S14/S5</f>
        <v>-3.2029439825541857E-2</v>
      </c>
      <c r="T28" s="9">
        <f t="shared" si="262"/>
        <v>-0.14453891432308705</v>
      </c>
      <c r="U28" s="9">
        <f t="shared" si="262"/>
        <v>-0.19306540583136317</v>
      </c>
      <c r="V28" s="9">
        <f t="shared" si="262"/>
        <v>-0.28820205281974409</v>
      </c>
      <c r="W28" s="9">
        <f t="shared" si="262"/>
        <v>-0.28677462887989214</v>
      </c>
      <c r="X28" s="9">
        <f t="shared" si="262"/>
        <v>-0.14858963767260716</v>
      </c>
      <c r="Y28" s="9">
        <f t="shared" si="262"/>
        <v>-0.38355263157894731</v>
      </c>
      <c r="Z28" s="9">
        <f t="shared" si="262"/>
        <v>-0.10573895378364655</v>
      </c>
      <c r="AA28" s="9">
        <f t="shared" si="262"/>
        <v>-8.1688223281143696E-2</v>
      </c>
      <c r="AB28" s="9">
        <f t="shared" ref="AB28:AD28" si="263">AB14/AB5</f>
        <v>-7.3752711496746309E-2</v>
      </c>
      <c r="AC28" s="9">
        <f t="shared" si="263"/>
        <v>-3.3609489738278868E-2</v>
      </c>
      <c r="AD28" s="9">
        <f t="shared" si="263"/>
        <v>-3.2639467110740991E-2</v>
      </c>
      <c r="AE28" s="9">
        <f t="shared" ref="AE28:AH28" si="264">AE14/AE5</f>
        <v>-5.6529832467914223E-2</v>
      </c>
      <c r="AF28" s="9">
        <f t="shared" si="264"/>
        <v>-3.6582671619724248E-2</v>
      </c>
      <c r="AG28" s="9">
        <f t="shared" si="264"/>
        <v>-1.1220556239165515E-2</v>
      </c>
      <c r="AH28" s="9">
        <f t="shared" si="264"/>
        <v>3.4744379729378248E-3</v>
      </c>
      <c r="AJ28" s="9">
        <f t="shared" ref="AJ28" si="265">AJ14/AJ5</f>
        <v>-1.7912457912457928E-2</v>
      </c>
      <c r="AK28" s="9">
        <f t="shared" ref="AK28:AL28" si="266">AK14/AK5</f>
        <v>-5.7666755248471882E-2</v>
      </c>
      <c r="AL28" s="9">
        <f t="shared" si="266"/>
        <v>-1.1358524516419279E-2</v>
      </c>
      <c r="AM28" s="9">
        <f t="shared" ref="AM28:AV28" si="267">AM14/AM5</f>
        <v>8.5006330258636201E-2</v>
      </c>
      <c r="AN28" s="9">
        <f t="shared" si="267"/>
        <v>-0.16979563117664001</v>
      </c>
      <c r="AO28" s="9">
        <f t="shared" si="267"/>
        <v>-0.22735881542699715</v>
      </c>
      <c r="AP28" s="9">
        <f t="shared" si="267"/>
        <v>-5.3079485496146134E-2</v>
      </c>
      <c r="AQ28" s="9">
        <f t="shared" si="267"/>
        <v>-2.3122124422068839E-2</v>
      </c>
      <c r="AR28" s="9">
        <f t="shared" si="267"/>
        <v>3.0322813692389823E-2</v>
      </c>
      <c r="AS28" s="9">
        <f t="shared" si="267"/>
        <v>6.1409581800431295E-2</v>
      </c>
      <c r="AT28" s="9">
        <f t="shared" si="267"/>
        <v>8.4744172634695455E-2</v>
      </c>
      <c r="AU28" s="9">
        <f t="shared" si="267"/>
        <v>9.073934366716073E-2</v>
      </c>
      <c r="AV28" s="9">
        <f t="shared" si="267"/>
        <v>9.4347741279195069E-2</v>
      </c>
      <c r="AW28" s="9">
        <f t="shared" ref="AW28:BA28" si="268">AW14/AW5</f>
        <v>9.5947317577304347E-2</v>
      </c>
      <c r="AX28" s="9">
        <f t="shared" si="268"/>
        <v>9.7534810748361886E-2</v>
      </c>
      <c r="AY28" s="9">
        <f t="shared" si="268"/>
        <v>9.9110281013714732E-2</v>
      </c>
      <c r="AZ28" s="9">
        <f t="shared" si="268"/>
        <v>0.10067378884418274</v>
      </c>
      <c r="BA28" s="9">
        <f t="shared" si="268"/>
        <v>0.10222539494811619</v>
      </c>
      <c r="BC28" t="s">
        <v>50</v>
      </c>
      <c r="BD28" s="5">
        <f>Main!D8</f>
        <v>2256.1</v>
      </c>
    </row>
    <row r="29" spans="2:163" x14ac:dyDescent="0.3">
      <c r="B29" t="s">
        <v>61</v>
      </c>
      <c r="C29" s="9"/>
      <c r="D29" s="9"/>
      <c r="E29" s="9"/>
      <c r="F29" s="9"/>
      <c r="G29" s="9">
        <f t="shared" ref="G29:N29" si="269">G10/C10-1</f>
        <v>0.63343108504398837</v>
      </c>
      <c r="H29" s="9">
        <f t="shared" si="269"/>
        <v>0.54228855721393021</v>
      </c>
      <c r="I29" s="9">
        <f t="shared" si="269"/>
        <v>0.50881057268722474</v>
      </c>
      <c r="J29" s="9">
        <f t="shared" si="269"/>
        <v>0.54509803921568611</v>
      </c>
      <c r="K29" s="9">
        <f t="shared" si="269"/>
        <v>0.58527827648114883</v>
      </c>
      <c r="L29" s="9">
        <f t="shared" si="269"/>
        <v>0.3612903225806452</v>
      </c>
      <c r="M29" s="9">
        <f t="shared" si="269"/>
        <v>0.29051094890510964</v>
      </c>
      <c r="N29" s="9">
        <f t="shared" si="269"/>
        <v>0.20177664974619303</v>
      </c>
      <c r="O29" s="9">
        <f t="shared" ref="O29" si="270">O10/K10-1</f>
        <v>0.15062287655719131</v>
      </c>
      <c r="P29" s="9">
        <f t="shared" ref="P29" si="271">P10/L10-1</f>
        <v>0.3424170616113742</v>
      </c>
      <c r="Q29" s="9">
        <f t="shared" ref="Q29" si="272">Q10/M10-1</f>
        <v>0.36085972850678716</v>
      </c>
      <c r="R29" s="9">
        <f t="shared" ref="R29" si="273">R10/N10-1</f>
        <v>0.33474128827877503</v>
      </c>
      <c r="S29" s="9">
        <f t="shared" ref="S29" si="274">S10/O10-1</f>
        <v>0.61417322834645671</v>
      </c>
      <c r="T29" s="9">
        <f t="shared" ref="T29" si="275">T10/P10-1</f>
        <v>0.73521624007060904</v>
      </c>
      <c r="U29" s="9">
        <f t="shared" ref="U29" si="276">U10/Q10-1</f>
        <v>0.72568578553615959</v>
      </c>
      <c r="V29" s="9">
        <f t="shared" ref="V29" si="277">V10/R10-1</f>
        <v>0.74604430379746822</v>
      </c>
      <c r="W29" s="9">
        <f t="shared" ref="W29" si="278">W10/S10-1</f>
        <v>0.34207317073170729</v>
      </c>
      <c r="X29" s="9">
        <f t="shared" ref="X29" si="279">X10/T10-1</f>
        <v>-2.1363173957273607E-2</v>
      </c>
      <c r="Y29" s="9">
        <f t="shared" ref="Y29" si="280">Y10/U10-1</f>
        <v>0.359344894026975</v>
      </c>
      <c r="Z29" s="9">
        <f t="shared" ref="Z29" si="281">Z10/V10-1</f>
        <v>-0.16719528772088799</v>
      </c>
      <c r="AA29" s="9">
        <f t="shared" ref="AA29" si="282">AA10/W10-1</f>
        <v>-0.18037255792821438</v>
      </c>
      <c r="AB29" s="9">
        <f t="shared" ref="AB29" si="283">AB10/X10-1</f>
        <v>-8.7837837837837829E-2</v>
      </c>
      <c r="AC29" s="9">
        <f t="shared" ref="AC29" si="284">AC10/Y10-1</f>
        <v>-0.36640680368532952</v>
      </c>
      <c r="AD29" s="9">
        <f t="shared" ref="AD29" si="285">AD10/Z10-1</f>
        <v>8.705114254624613E-3</v>
      </c>
      <c r="AE29" s="9">
        <f t="shared" ref="AE29" si="286">AE10/AA10-1</f>
        <v>2.3281596452328079E-2</v>
      </c>
      <c r="AF29" s="9">
        <f t="shared" ref="AF29" si="287">AF10/AB10-1</f>
        <v>7.0000000000000062E-2</v>
      </c>
      <c r="AG29" s="9">
        <f t="shared" ref="AG29" si="288">AG10/AC10-1</f>
        <v>6.0000000000000053E-2</v>
      </c>
      <c r="AH29" s="9">
        <f t="shared" ref="AH29" si="289">AH10/AD10-1</f>
        <v>3.0000000000000027E-2</v>
      </c>
      <c r="AJ29" s="9"/>
      <c r="AK29" s="9">
        <f t="shared" ref="AK29" si="290">AK10/AJ10-1</f>
        <v>0.55243116578793194</v>
      </c>
      <c r="AL29" s="9">
        <f t="shared" ref="AL29" si="291">AL10/AK10-1</f>
        <v>0.34264150943396232</v>
      </c>
      <c r="AM29" s="9">
        <f t="shared" ref="AM29" si="292">AM10/AL10-1</f>
        <v>0.29735806632939865</v>
      </c>
      <c r="AN29" s="9">
        <f t="shared" ref="AN29" si="293">AN10/AM10-1</f>
        <v>0.70905545927209723</v>
      </c>
      <c r="AO29" s="9">
        <f t="shared" ref="AO29" si="294">AO10/AN10-1</f>
        <v>0.11357586512866003</v>
      </c>
      <c r="AP29" s="9">
        <f t="shared" ref="AP29" si="295">AP10/AO10-1</f>
        <v>-0.18030734206033006</v>
      </c>
      <c r="AQ29" s="9">
        <f t="shared" ref="AQ29" si="296">AQ10/AP10-1</f>
        <v>4.5514511873350871E-2</v>
      </c>
      <c r="AR29" s="9">
        <f t="shared" ref="AR29" si="297">AR10/AQ10-1</f>
        <v>2.0000000000000018E-2</v>
      </c>
      <c r="AS29" s="9">
        <f t="shared" ref="AS29" si="298">AS10/AR10-1</f>
        <v>1.0000000000000009E-2</v>
      </c>
      <c r="AT29" s="9">
        <f t="shared" ref="AT29" si="299">AT10/AS10-1</f>
        <v>1.0000000000000009E-2</v>
      </c>
      <c r="AU29" s="9">
        <f t="shared" ref="AU29" si="300">AU10/AT10-1</f>
        <v>1.0000000000000009E-2</v>
      </c>
      <c r="AV29" s="9">
        <f t="shared" ref="AV29:AW29" si="301">AV10/AU10-1</f>
        <v>1.0000000000000009E-2</v>
      </c>
      <c r="AW29" s="9">
        <f t="shared" si="301"/>
        <v>1.0000000000000009E-2</v>
      </c>
      <c r="AX29" s="9">
        <f t="shared" ref="AX29" si="302">AX10/AW10-1</f>
        <v>1.0000000000000009E-2</v>
      </c>
      <c r="AY29" s="9">
        <f t="shared" ref="AY29" si="303">AY10/AX10-1</f>
        <v>1.0000000000000009E-2</v>
      </c>
      <c r="AZ29" s="9">
        <f t="shared" ref="AZ29" si="304">AZ10/AY10-1</f>
        <v>1.0000000000000009E-2</v>
      </c>
      <c r="BA29" s="9">
        <f t="shared" ref="BA29" si="305">BA10/AZ10-1</f>
        <v>1.0000000000000009E-2</v>
      </c>
      <c r="BC29" t="s">
        <v>51</v>
      </c>
      <c r="BD29" s="5">
        <f>BD27+BD28</f>
        <v>6973.7833121579133</v>
      </c>
    </row>
    <row r="30" spans="2:163" x14ac:dyDescent="0.3">
      <c r="B30" t="s">
        <v>42</v>
      </c>
      <c r="C30" s="9">
        <f>C11/C5</f>
        <v>0.14860907759882871</v>
      </c>
      <c r="D30" s="9">
        <f t="shared" ref="D30:G30" si="306">D11/D5</f>
        <v>0.14221938775510204</v>
      </c>
      <c r="E30" s="9">
        <f t="shared" si="306"/>
        <v>0.14763552479815459</v>
      </c>
      <c r="F30" s="9">
        <f t="shared" si="306"/>
        <v>0.12549873050417121</v>
      </c>
      <c r="G30" s="9">
        <f t="shared" si="306"/>
        <v>0.16352201257861634</v>
      </c>
      <c r="H30" s="9">
        <f t="shared" ref="H30:N30" si="307">H11/H5</f>
        <v>0.14634146341463417</v>
      </c>
      <c r="I30" s="9">
        <f t="shared" si="307"/>
        <v>0.17899578382522041</v>
      </c>
      <c r="J30" s="9">
        <f t="shared" si="307"/>
        <v>0.15029182879377428</v>
      </c>
      <c r="K30" s="9">
        <f t="shared" si="307"/>
        <v>0.21259351620947631</v>
      </c>
      <c r="L30" s="9">
        <f t="shared" si="307"/>
        <v>0.18028643639427128</v>
      </c>
      <c r="M30" s="9">
        <f t="shared" si="307"/>
        <v>0.15721877767936226</v>
      </c>
      <c r="N30" s="9">
        <f t="shared" si="307"/>
        <v>0.1478689029081397</v>
      </c>
      <c r="O30" s="9">
        <f t="shared" ref="O30:R30" si="308">O11/O5</f>
        <v>0.15482410309996517</v>
      </c>
      <c r="P30" s="9">
        <f t="shared" si="308"/>
        <v>0.14524879863587042</v>
      </c>
      <c r="Q30" s="9">
        <f t="shared" si="308"/>
        <v>0.1613472569495514</v>
      </c>
      <c r="R30" s="9">
        <f t="shared" si="308"/>
        <v>0.18883624176586156</v>
      </c>
      <c r="S30" s="9">
        <f t="shared" ref="S30:AA30" si="309">S11/S5</f>
        <v>0.19967289082731363</v>
      </c>
      <c r="T30" s="9">
        <f t="shared" si="309"/>
        <v>0.2419882275997384</v>
      </c>
      <c r="U30" s="9">
        <f t="shared" si="309"/>
        <v>0.2750197005516154</v>
      </c>
      <c r="V30" s="9">
        <f t="shared" si="309"/>
        <v>0.34321300888017536</v>
      </c>
      <c r="W30" s="9">
        <f t="shared" si="309"/>
        <v>0.31565452091767882</v>
      </c>
      <c r="X30" s="9">
        <f t="shared" si="309"/>
        <v>0.26814587513277471</v>
      </c>
      <c r="Y30" s="9">
        <f t="shared" si="309"/>
        <v>0.33739035087719299</v>
      </c>
      <c r="Z30" s="9">
        <f t="shared" si="309"/>
        <v>0.26876587100050792</v>
      </c>
      <c r="AA30" s="9">
        <f t="shared" si="309"/>
        <v>0.22929430451554345</v>
      </c>
      <c r="AB30" s="9">
        <f t="shared" ref="AB30:AD30" si="310">AB11/AB5</f>
        <v>0.22900526805082119</v>
      </c>
      <c r="AC30" s="9">
        <f t="shared" si="310"/>
        <v>0.22312182263227262</v>
      </c>
      <c r="AD30" s="9">
        <f t="shared" si="310"/>
        <v>0.22639467110741046</v>
      </c>
      <c r="AE30" s="9">
        <f t="shared" ref="AE30:AH30" si="311">AE11/AE5</f>
        <v>0.21916331929068286</v>
      </c>
      <c r="AF30" s="9">
        <f t="shared" si="311"/>
        <v>0.22</v>
      </c>
      <c r="AG30" s="9">
        <f t="shared" si="311"/>
        <v>0.22</v>
      </c>
      <c r="AH30" s="9">
        <f t="shared" si="311"/>
        <v>0.22</v>
      </c>
      <c r="AJ30" s="9">
        <f t="shared" ref="AJ30" si="312">AJ11/AJ5</f>
        <v>0.13845117845117846</v>
      </c>
      <c r="AK30" s="9">
        <f t="shared" ref="AK30:AL30" si="313">AK11/AK5</f>
        <v>0.15847284967667641</v>
      </c>
      <c r="AL30" s="9">
        <f t="shared" si="313"/>
        <v>0.16840980656770133</v>
      </c>
      <c r="AM30" s="9">
        <f t="shared" ref="AM30:AV30" si="314">AM11/AM5</f>
        <v>0.16483993488876833</v>
      </c>
      <c r="AN30" s="9">
        <f t="shared" si="314"/>
        <v>0.26817411328237439</v>
      </c>
      <c r="AO30" s="9">
        <f t="shared" si="314"/>
        <v>0.29654499540863177</v>
      </c>
      <c r="AP30" s="9">
        <f t="shared" si="314"/>
        <v>0.22678532351010283</v>
      </c>
      <c r="AQ30" s="9">
        <f t="shared" si="314"/>
        <v>0.21981502731920874</v>
      </c>
      <c r="AR30" s="9">
        <f t="shared" si="314"/>
        <v>0.21</v>
      </c>
      <c r="AS30" s="9">
        <f t="shared" si="314"/>
        <v>0.19999999999999998</v>
      </c>
      <c r="AT30" s="9">
        <f t="shared" si="314"/>
        <v>0.19</v>
      </c>
      <c r="AU30" s="9">
        <f t="shared" si="314"/>
        <v>0.19000000000000003</v>
      </c>
      <c r="AV30" s="9">
        <f t="shared" si="314"/>
        <v>0.19</v>
      </c>
      <c r="AW30" s="9">
        <f t="shared" ref="AW30:BA30" si="315">AW11/AW5</f>
        <v>0.18999999999999997</v>
      </c>
      <c r="AX30" s="9">
        <f t="shared" si="315"/>
        <v>0.19000000000000003</v>
      </c>
      <c r="AY30" s="9">
        <f t="shared" si="315"/>
        <v>0.19</v>
      </c>
      <c r="AZ30" s="9">
        <f t="shared" si="315"/>
        <v>0.19</v>
      </c>
      <c r="BA30" s="9">
        <f t="shared" si="315"/>
        <v>0.18999999999999997</v>
      </c>
      <c r="BC30" t="s">
        <v>52</v>
      </c>
      <c r="BD30" s="11">
        <f>BD29/AV19</f>
        <v>47.570145376247709</v>
      </c>
    </row>
    <row r="31" spans="2:163" x14ac:dyDescent="0.3">
      <c r="B31" t="s">
        <v>62</v>
      </c>
      <c r="C31" s="9"/>
      <c r="D31" s="9"/>
      <c r="E31" s="9"/>
      <c r="F31" s="9"/>
      <c r="G31" s="9">
        <f t="shared" ref="G31:N31" si="316">G12/C12-1</f>
        <v>0.41666666666666674</v>
      </c>
      <c r="H31" s="9">
        <f t="shared" si="316"/>
        <v>0.68831168831168821</v>
      </c>
      <c r="I31" s="9">
        <f t="shared" si="316"/>
        <v>0.51010101010100994</v>
      </c>
      <c r="J31" s="9">
        <f t="shared" si="316"/>
        <v>0.81132075471698117</v>
      </c>
      <c r="K31" s="9">
        <f t="shared" si="316"/>
        <v>0.79638009049773761</v>
      </c>
      <c r="L31" s="9">
        <f t="shared" si="316"/>
        <v>0.55769230769230771</v>
      </c>
      <c r="M31" s="9">
        <f t="shared" si="316"/>
        <v>0.45484949832775934</v>
      </c>
      <c r="N31" s="9">
        <f t="shared" si="316"/>
        <v>0.2890625</v>
      </c>
      <c r="O31" s="9">
        <f t="shared" ref="O31" si="317">O12/K12-1</f>
        <v>0.52392947103274556</v>
      </c>
      <c r="P31" s="9">
        <f t="shared" ref="P31" si="318">P12/L12-1</f>
        <v>0.53580246913580254</v>
      </c>
      <c r="Q31" s="9">
        <f t="shared" ref="Q31" si="319">Q12/M12-1</f>
        <v>0.49655172413793092</v>
      </c>
      <c r="R31" s="9">
        <f t="shared" ref="R31" si="320">R12/N12-1</f>
        <v>0.38383838383838387</v>
      </c>
      <c r="S31" s="9">
        <f t="shared" ref="S31" si="321">S12/O12-1</f>
        <v>0.28595041322314052</v>
      </c>
      <c r="T31" s="9">
        <f t="shared" ref="T31" si="322">T12/P12-1</f>
        <v>0.35209003215434076</v>
      </c>
      <c r="U31" s="9">
        <f t="shared" ref="U31" si="323">U12/Q12-1</f>
        <v>0.33333333333333348</v>
      </c>
      <c r="V31" s="9">
        <f t="shared" ref="V31" si="324">V12/R12-1</f>
        <v>0.4014598540145986</v>
      </c>
      <c r="W31" s="9">
        <f t="shared" ref="W31" si="325">W12/S12-1</f>
        <v>0.23521850899742924</v>
      </c>
      <c r="X31" s="9">
        <f t="shared" ref="X31" si="326">X12/T12-1</f>
        <v>7.1343638525565023E-3</v>
      </c>
      <c r="Y31" s="9">
        <f t="shared" ref="Y31" si="327">Y12/U12-1</f>
        <v>0.48271889400921641</v>
      </c>
      <c r="Z31" s="9">
        <f t="shared" ref="Z31" si="328">Z12/V12-1</f>
        <v>-2.3958333333333304E-2</v>
      </c>
      <c r="AA31" s="9">
        <f t="shared" ref="AA31" si="329">AA12/W12-1</f>
        <v>-0.19146722164412067</v>
      </c>
      <c r="AB31" s="9">
        <f t="shared" ref="AB31" si="330">AB12/X12-1</f>
        <v>0.166469893742621</v>
      </c>
      <c r="AC31" s="9">
        <f t="shared" ref="AC31" si="331">AC12/Y12-1</f>
        <v>-0.22299922299922292</v>
      </c>
      <c r="AD31" s="9">
        <f t="shared" ref="AD31" si="332">AD12/Z12-1</f>
        <v>7.4706510138740079E-3</v>
      </c>
      <c r="AE31" s="9">
        <f t="shared" ref="AE31" si="333">AE12/AA12-1</f>
        <v>0.21621621621621623</v>
      </c>
      <c r="AF31" s="9">
        <f t="shared" ref="AF31" si="334">AF12/AB12-1</f>
        <v>3.0000000000000027E-2</v>
      </c>
      <c r="AG31" s="9">
        <f t="shared" ref="AG31" si="335">AG12/AC12-1</f>
        <v>3.0000000000000027E-2</v>
      </c>
      <c r="AH31" s="9">
        <f t="shared" ref="AH31" si="336">AH12/AD12-1</f>
        <v>3.0000000000000027E-2</v>
      </c>
      <c r="AJ31" s="9"/>
      <c r="AK31" s="9">
        <f t="shared" ref="AK31" si="337">AK12/AJ12-1</f>
        <v>0.6166666666666667</v>
      </c>
      <c r="AL31" s="9">
        <f t="shared" ref="AL31" si="338">AL12/AK12-1</f>
        <v>0.48797250859106511</v>
      </c>
      <c r="AM31" s="9">
        <f t="shared" ref="AM31" si="339">AM12/AL12-1</f>
        <v>0.47979214780600477</v>
      </c>
      <c r="AN31" s="9">
        <f t="shared" ref="AN31" si="340">AN12/AM12-1</f>
        <v>0.34490831057354643</v>
      </c>
      <c r="AO31" s="9">
        <f t="shared" ref="AO31" si="341">AO12/AN12-1</f>
        <v>0.16971279373368153</v>
      </c>
      <c r="AP31" s="9">
        <f t="shared" ref="AP31" si="342">AP12/AO12-1</f>
        <v>-8.0109126984126977E-2</v>
      </c>
      <c r="AQ31" s="9">
        <f t="shared" ref="AQ31" si="343">AQ12/AP12-1</f>
        <v>6.9010514963602221E-2</v>
      </c>
      <c r="AR31" s="9">
        <f t="shared" ref="AR31" si="344">AR12/AQ12-1</f>
        <v>2.0000000000000018E-2</v>
      </c>
      <c r="AS31" s="9">
        <f t="shared" ref="AS31" si="345">AS12/AR12-1</f>
        <v>2.0000000000000018E-2</v>
      </c>
      <c r="AT31" s="9">
        <f t="shared" ref="AT31" si="346">AT12/AS12-1</f>
        <v>2.0000000000000018E-2</v>
      </c>
      <c r="AU31" s="9">
        <f t="shared" ref="AU31" si="347">AU12/AT12-1</f>
        <v>2.0000000000000018E-2</v>
      </c>
      <c r="AV31" s="9">
        <f t="shared" ref="AV31:AW31" si="348">AV12/AU12-1</f>
        <v>2.0000000000000018E-2</v>
      </c>
      <c r="AW31" s="9">
        <f t="shared" si="348"/>
        <v>2.0000000000000018E-2</v>
      </c>
      <c r="AX31" s="9">
        <f t="shared" ref="AX31" si="349">AX12/AW12-1</f>
        <v>2.0000000000000018E-2</v>
      </c>
      <c r="AY31" s="9">
        <f t="shared" ref="AY31" si="350">AY12/AX12-1</f>
        <v>2.0000000000000018E-2</v>
      </c>
      <c r="AZ31" s="9">
        <f t="shared" ref="AZ31" si="351">AZ12/AY12-1</f>
        <v>2.0000000000000018E-2</v>
      </c>
      <c r="BA31" s="9">
        <f t="shared" ref="BA31" si="352">BA12/AZ12-1</f>
        <v>2.0000000000000018E-2</v>
      </c>
      <c r="BC31" t="s">
        <v>53</v>
      </c>
      <c r="BD31" s="11">
        <f>Main!D3</f>
        <v>59.53</v>
      </c>
    </row>
    <row r="32" spans="2:163" x14ac:dyDescent="0.3">
      <c r="B32" t="s">
        <v>35</v>
      </c>
      <c r="C32" s="9">
        <f>C17/C16</f>
        <v>-1.5384615384615373E-2</v>
      </c>
      <c r="D32" s="9">
        <f t="shared" ref="D32:G32" si="353">D17/D16</f>
        <v>-1.9999999999999429</v>
      </c>
      <c r="E32" s="9">
        <f t="shared" si="353"/>
        <v>2.0618556701030875E-2</v>
      </c>
      <c r="F32" s="9">
        <f t="shared" si="353"/>
        <v>-1.4925373134328391E-2</v>
      </c>
      <c r="G32" s="9">
        <f t="shared" si="353"/>
        <v>1.0204081632653045E-2</v>
      </c>
      <c r="H32" s="9">
        <f t="shared" ref="H32:N32" si="354">H17/H16</f>
        <v>4.0567951318458396E-2</v>
      </c>
      <c r="I32" s="9">
        <f t="shared" si="354"/>
        <v>4.0485829959514144E-3</v>
      </c>
      <c r="J32" s="9">
        <f t="shared" si="354"/>
        <v>2.5000000000000074E-2</v>
      </c>
      <c r="K32" s="9">
        <f t="shared" si="354"/>
        <v>3.663003663003663E-3</v>
      </c>
      <c r="L32" s="9">
        <f t="shared" si="354"/>
        <v>-1.1737089201877937E-2</v>
      </c>
      <c r="M32" s="9">
        <f t="shared" si="354"/>
        <v>-8.1967213114753829E-2</v>
      </c>
      <c r="N32" s="9">
        <f t="shared" si="354"/>
        <v>-1.0502625656414103E-2</v>
      </c>
      <c r="O32" s="9">
        <f t="shared" ref="O32:R32" si="355">O17/O16</f>
        <v>-1.0596026490066216E-2</v>
      </c>
      <c r="P32" s="9">
        <f t="shared" si="355"/>
        <v>-5.150214592274685E-2</v>
      </c>
      <c r="Q32" s="9">
        <f t="shared" si="355"/>
        <v>-4.3731778425656004E-3</v>
      </c>
      <c r="R32" s="9">
        <f t="shared" si="355"/>
        <v>-4.8672566371681519E-2</v>
      </c>
      <c r="S32" s="9">
        <f t="shared" ref="S32:AA32" si="356">S17/S16</f>
        <v>-9.0909090909090703E-2</v>
      </c>
      <c r="T32" s="9">
        <f t="shared" si="356"/>
        <v>-2.3679417122040063E-2</v>
      </c>
      <c r="U32" s="9">
        <f t="shared" si="356"/>
        <v>-1.6625103906899426E-2</v>
      </c>
      <c r="V32" s="9">
        <f t="shared" si="356"/>
        <v>4.1981528127623827E-3</v>
      </c>
      <c r="W32" s="9">
        <f t="shared" si="356"/>
        <v>-1.8997361477572555E-2</v>
      </c>
      <c r="X32" s="9">
        <f t="shared" si="356"/>
        <v>-1.5108593012275727E-2</v>
      </c>
      <c r="Y32" s="9">
        <f t="shared" si="356"/>
        <v>-9.7889262771489773E-3</v>
      </c>
      <c r="Z32" s="9">
        <f t="shared" si="356"/>
        <v>-2.3560209424083763E-2</v>
      </c>
      <c r="AA32" s="9">
        <f t="shared" si="356"/>
        <v>-0.10434782608695639</v>
      </c>
      <c r="AB32" s="9">
        <f t="shared" ref="AB32:AD32" si="357">AB17/AB16</f>
        <v>0.21247113163972242</v>
      </c>
      <c r="AC32" s="9">
        <f t="shared" si="357"/>
        <v>-0.85416666666669872</v>
      </c>
      <c r="AD32" s="9">
        <f t="shared" si="357"/>
        <v>-0.37451737451737549</v>
      </c>
      <c r="AE32" s="9">
        <f t="shared" ref="AE32:AH32" si="358">AE17/AE16</f>
        <v>0.32345679012345646</v>
      </c>
      <c r="AF32" s="9">
        <f t="shared" si="358"/>
        <v>0.2</v>
      </c>
      <c r="AG32" s="9">
        <f t="shared" si="358"/>
        <v>0.2</v>
      </c>
      <c r="AH32" s="9">
        <f t="shared" si="358"/>
        <v>0.2</v>
      </c>
      <c r="AJ32" s="9">
        <f t="shared" ref="AJ32" si="359">AJ17/AJ16</f>
        <v>6.4516129032257979E-2</v>
      </c>
      <c r="AK32" s="9">
        <f t="shared" ref="AK32:AL32" si="360">AK17/AK16</f>
        <v>1.6567263088137864E-2</v>
      </c>
      <c r="AL32" s="9">
        <f t="shared" si="360"/>
        <v>7.6294277929155122E-2</v>
      </c>
      <c r="AM32" s="9">
        <f t="shared" ref="AM32:AV32" si="361">AM17/AM16</f>
        <v>-2.4513947590870694E-2</v>
      </c>
      <c r="AN32" s="9">
        <f t="shared" si="361"/>
        <v>-1.1776649746192887E-2</v>
      </c>
      <c r="AO32" s="9">
        <f t="shared" si="361"/>
        <v>-1.459854014598541E-2</v>
      </c>
      <c r="AP32" s="9">
        <f t="shared" si="361"/>
        <v>-7.8333333333333199E-2</v>
      </c>
      <c r="AQ32" s="9">
        <f t="shared" si="361"/>
        <v>0.50248967149014201</v>
      </c>
      <c r="AR32" s="9">
        <f t="shared" si="361"/>
        <v>0.2</v>
      </c>
      <c r="AS32" s="9">
        <f t="shared" si="361"/>
        <v>0.2</v>
      </c>
      <c r="AT32" s="9">
        <f t="shared" si="361"/>
        <v>0.2</v>
      </c>
      <c r="AU32" s="9">
        <f t="shared" si="361"/>
        <v>0.2</v>
      </c>
      <c r="AV32" s="9">
        <f t="shared" si="361"/>
        <v>0.20000000000000004</v>
      </c>
      <c r="AW32" s="9">
        <f t="shared" ref="AW32:BA32" si="362">AW17/AW16</f>
        <v>0.19999999999999998</v>
      </c>
      <c r="AX32" s="9">
        <f t="shared" si="362"/>
        <v>0.2</v>
      </c>
      <c r="AY32" s="9">
        <f t="shared" si="362"/>
        <v>0.2</v>
      </c>
      <c r="AZ32" s="9">
        <f t="shared" si="362"/>
        <v>0.2</v>
      </c>
      <c r="BA32" s="9">
        <f t="shared" si="362"/>
        <v>0.20000000000000004</v>
      </c>
      <c r="BC32" s="1" t="s">
        <v>54</v>
      </c>
      <c r="BD32" s="10">
        <f>BD30/BD31-1</f>
        <v>-0.2009046635940247</v>
      </c>
    </row>
    <row r="33" spans="2:56" x14ac:dyDescent="0.3">
      <c r="B33" t="s">
        <v>63</v>
      </c>
      <c r="C33" s="9">
        <f>C18/C5</f>
        <v>-4.831625183016109E-2</v>
      </c>
      <c r="D33" s="9">
        <f t="shared" ref="D33:AW33" si="363">D18/D5</f>
        <v>3.8265306122449343E-3</v>
      </c>
      <c r="E33" s="9">
        <f t="shared" si="363"/>
        <v>-5.4786620530565329E-2</v>
      </c>
      <c r="F33" s="9">
        <f t="shared" si="363"/>
        <v>2.466449038810296E-2</v>
      </c>
      <c r="G33" s="9">
        <f t="shared" si="363"/>
        <v>-4.6927914852443242E-2</v>
      </c>
      <c r="H33" s="9">
        <f t="shared" si="363"/>
        <v>-3.7824870051979237E-2</v>
      </c>
      <c r="I33" s="9">
        <f t="shared" si="363"/>
        <v>-9.4288999616711458E-2</v>
      </c>
      <c r="J33" s="9">
        <f t="shared" si="363"/>
        <v>-3.7937743190661365E-2</v>
      </c>
      <c r="K33" s="9">
        <f t="shared" si="363"/>
        <v>-0.16957605985037405</v>
      </c>
      <c r="L33" s="9">
        <f t="shared" si="363"/>
        <v>-0.1210334175793316</v>
      </c>
      <c r="M33" s="9">
        <f t="shared" si="363"/>
        <v>2.9229406554473071E-2</v>
      </c>
      <c r="N33" s="9">
        <f t="shared" si="363"/>
        <v>0.10363132789659947</v>
      </c>
      <c r="O33" s="9">
        <f t="shared" si="363"/>
        <v>0.13288052943225367</v>
      </c>
      <c r="P33" s="9">
        <f t="shared" si="363"/>
        <v>0.11393582390327067</v>
      </c>
      <c r="Q33" s="9">
        <f t="shared" si="363"/>
        <v>0.10133843212237087</v>
      </c>
      <c r="R33" s="9">
        <f t="shared" si="363"/>
        <v>2.7389344735929688E-2</v>
      </c>
      <c r="S33" s="9">
        <f t="shared" ref="S33:AA33" si="364">S18/S5</f>
        <v>-3.5982008995502329E-2</v>
      </c>
      <c r="T33" s="9">
        <f t="shared" si="364"/>
        <v>-0.14702419882276005</v>
      </c>
      <c r="U33" s="9">
        <f t="shared" si="364"/>
        <v>-0.16062516417126335</v>
      </c>
      <c r="V33" s="9">
        <f t="shared" si="364"/>
        <v>-0.27355552992734417</v>
      </c>
      <c r="W33" s="9">
        <f t="shared" si="364"/>
        <v>-0.26059379217273959</v>
      </c>
      <c r="X33" s="9">
        <f t="shared" si="364"/>
        <v>-0.12687359848931906</v>
      </c>
      <c r="Y33" s="9">
        <f t="shared" si="364"/>
        <v>-0.36195175438596489</v>
      </c>
      <c r="Z33" s="9">
        <f t="shared" si="364"/>
        <v>-7.9431183341797884E-2</v>
      </c>
      <c r="AA33" s="9">
        <f t="shared" si="364"/>
        <v>-5.7635579759473629E-2</v>
      </c>
      <c r="AB33" s="9">
        <f t="shared" ref="AB33:AD33" si="365">AB18/AB5</f>
        <v>-3.5223633922115583E-2</v>
      </c>
      <c r="AC33" s="9">
        <f t="shared" si="365"/>
        <v>-8.3788363773298988E-3</v>
      </c>
      <c r="AD33" s="9">
        <f t="shared" si="365"/>
        <v>-2.9641965029142323E-2</v>
      </c>
      <c r="AE33" s="9">
        <f t="shared" ref="AE33:AH33" si="366">AE18/AE5</f>
        <v>-2.6844322523758249E-2</v>
      </c>
      <c r="AF33" s="9">
        <f t="shared" si="366"/>
        <v>-8.6593363108554856E-3</v>
      </c>
      <c r="AG33" s="9">
        <f t="shared" si="366"/>
        <v>1.2094949218743494E-2</v>
      </c>
      <c r="AH33" s="9">
        <f t="shared" si="366"/>
        <v>1.0986035138575719E-2</v>
      </c>
      <c r="AJ33" s="9">
        <f t="shared" si="363"/>
        <v>-1.1717171717171734E-2</v>
      </c>
      <c r="AK33" s="9">
        <f t="shared" si="363"/>
        <v>-5.2582159624413059E-2</v>
      </c>
      <c r="AL33" s="9">
        <f t="shared" si="363"/>
        <v>-9.53103913630232E-3</v>
      </c>
      <c r="AM33" s="9">
        <f t="shared" si="363"/>
        <v>8.7683125339120913E-2</v>
      </c>
      <c r="AN33" s="9">
        <f t="shared" si="363"/>
        <v>-0.15936930309911421</v>
      </c>
      <c r="AO33" s="9">
        <f t="shared" si="363"/>
        <v>-0.20342630853994481</v>
      </c>
      <c r="AP33" s="9">
        <f t="shared" si="363"/>
        <v>-3.1463515452136111E-2</v>
      </c>
      <c r="AQ33" s="9">
        <f t="shared" si="363"/>
        <v>-1.7811942130843668E-3</v>
      </c>
      <c r="AR33" s="9">
        <f t="shared" si="363"/>
        <v>3.9005471339370629E-2</v>
      </c>
      <c r="AS33" s="9">
        <f t="shared" si="363"/>
        <v>6.3276339627404019E-2</v>
      </c>
      <c r="AT33" s="9">
        <f t="shared" si="363"/>
        <v>8.1607855676225416E-2</v>
      </c>
      <c r="AU33" s="9">
        <f t="shared" si="363"/>
        <v>8.6302615499836116E-2</v>
      </c>
      <c r="AV33" s="9">
        <f t="shared" si="363"/>
        <v>8.9204952362563456E-2</v>
      </c>
      <c r="AW33" s="9">
        <f t="shared" si="363"/>
        <v>9.0634997344797338E-2</v>
      </c>
      <c r="AX33" s="9">
        <f t="shared" ref="AX33:BA33" si="367">AX18/AX5</f>
        <v>9.2056884574260367E-2</v>
      </c>
      <c r="AY33" s="9">
        <f t="shared" si="367"/>
        <v>9.3470676781589601E-2</v>
      </c>
      <c r="AZ33" s="9">
        <f t="shared" si="367"/>
        <v>9.4876437040195896E-2</v>
      </c>
      <c r="BA33" s="9">
        <f t="shared" si="367"/>
        <v>9.6274228758132477E-2</v>
      </c>
      <c r="BC33" t="s">
        <v>55</v>
      </c>
      <c r="BD33" s="2" t="s">
        <v>81</v>
      </c>
    </row>
    <row r="35" spans="2:56" x14ac:dyDescent="0.3">
      <c r="BD35" t="s">
        <v>80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2020-10-24T14:11:07Z</cp:lastPrinted>
  <dcterms:created xsi:type="dcterms:W3CDTF">2020-10-24T14:07:45Z</dcterms:created>
  <dcterms:modified xsi:type="dcterms:W3CDTF">2025-05-06T10:10:25Z</dcterms:modified>
</cp:coreProperties>
</file>