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EDD320D3-5B89-4D57-8FA2-1E54B0B9B66A}" xr6:coauthVersionLast="47" xr6:coauthVersionMax="47" xr10:uidLastSave="{00000000-0000-0000-0000-000000000000}"/>
  <bookViews>
    <workbookView xWindow="-108" yWindow="-108" windowWidth="23256" windowHeight="12576" activeTab="1" xr2:uid="{42D26EF4-2D58-4793-8C51-B0C7F6F9364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6" i="2" l="1"/>
  <c r="AI16" i="2"/>
  <c r="AH16" i="2"/>
  <c r="AG16" i="2"/>
  <c r="AF16" i="2"/>
  <c r="AE16" i="2"/>
  <c r="AD16" i="2"/>
  <c r="AC16" i="2"/>
  <c r="AB16" i="2"/>
  <c r="AA16" i="2"/>
  <c r="R16" i="2"/>
  <c r="Q16" i="2"/>
  <c r="P16" i="2"/>
  <c r="P3" i="2"/>
  <c r="P5" i="2" s="1"/>
  <c r="P6" i="2"/>
  <c r="R5" i="2"/>
  <c r="Q5" i="2"/>
  <c r="R10" i="2"/>
  <c r="Q10" i="2"/>
  <c r="Q12" i="2"/>
  <c r="P12" i="2"/>
  <c r="R12" i="2"/>
  <c r="O5" i="2" l="1"/>
  <c r="D7" i="1"/>
  <c r="D6" i="1"/>
  <c r="Y32" i="2"/>
  <c r="X32" i="2"/>
  <c r="W32" i="2"/>
  <c r="V32" i="2"/>
  <c r="U32" i="2"/>
  <c r="T32" i="2"/>
  <c r="N32" i="2"/>
  <c r="M32" i="2"/>
  <c r="L32" i="2"/>
  <c r="K32" i="2"/>
  <c r="J32" i="2"/>
  <c r="I32" i="2"/>
  <c r="H32" i="2"/>
  <c r="G32" i="2"/>
  <c r="F32" i="2"/>
  <c r="E32" i="2"/>
  <c r="D32" i="2"/>
  <c r="C32" i="2"/>
  <c r="Z13" i="2"/>
  <c r="Z12" i="2"/>
  <c r="AA12" i="2" s="1"/>
  <c r="AB12" i="2" s="1"/>
  <c r="Z9" i="2"/>
  <c r="Z6" i="2"/>
  <c r="Z3" i="2"/>
  <c r="AA3" i="2" s="1"/>
  <c r="AA5" i="2" s="1"/>
  <c r="R14" i="2"/>
  <c r="Q14" i="2"/>
  <c r="Q15" i="2" s="1"/>
  <c r="R29" i="2"/>
  <c r="R11" i="2"/>
  <c r="Q11" i="2"/>
  <c r="R28" i="2"/>
  <c r="Q27" i="2"/>
  <c r="R9" i="2"/>
  <c r="Q9" i="2"/>
  <c r="Q26" i="2" s="1"/>
  <c r="P9" i="2"/>
  <c r="P26" i="2" s="1"/>
  <c r="O26" i="2"/>
  <c r="R8" i="2"/>
  <c r="Q8" i="2"/>
  <c r="P8" i="2"/>
  <c r="R7" i="2"/>
  <c r="Q7" i="2"/>
  <c r="P7" i="2"/>
  <c r="P10" i="2" s="1"/>
  <c r="Q6" i="2"/>
  <c r="Q23" i="2" s="1"/>
  <c r="R6" i="2"/>
  <c r="R23" i="2" s="1"/>
  <c r="O23" i="2"/>
  <c r="Q4" i="2"/>
  <c r="R4" i="2"/>
  <c r="P4" i="2"/>
  <c r="R3" i="2"/>
  <c r="R22" i="2" s="1"/>
  <c r="Q3" i="2"/>
  <c r="P22" i="2"/>
  <c r="Q29" i="2"/>
  <c r="P29" i="2"/>
  <c r="O29" i="2"/>
  <c r="R26" i="2"/>
  <c r="Q25" i="2"/>
  <c r="R24" i="2"/>
  <c r="P23" i="2"/>
  <c r="N5" i="2"/>
  <c r="M5" i="2"/>
  <c r="AN28" i="2"/>
  <c r="V23" i="2"/>
  <c r="U23" i="2"/>
  <c r="M23" i="2"/>
  <c r="L23" i="2"/>
  <c r="K23" i="2"/>
  <c r="J23" i="2"/>
  <c r="I23" i="2"/>
  <c r="H23" i="2"/>
  <c r="G23" i="2"/>
  <c r="N29" i="2"/>
  <c r="M29" i="2"/>
  <c r="M26" i="2"/>
  <c r="M7" i="2"/>
  <c r="Y13" i="2"/>
  <c r="X16" i="2"/>
  <c r="X12" i="2"/>
  <c r="X11" i="2"/>
  <c r="X10" i="2"/>
  <c r="X9" i="2"/>
  <c r="X6" i="2"/>
  <c r="X4" i="2"/>
  <c r="X3" i="2"/>
  <c r="W16" i="2"/>
  <c r="W13" i="2"/>
  <c r="W12" i="2"/>
  <c r="W29" i="2" s="1"/>
  <c r="W11" i="2"/>
  <c r="W10" i="2"/>
  <c r="W9" i="2"/>
  <c r="W6" i="2"/>
  <c r="W23" i="2" s="1"/>
  <c r="W4" i="2"/>
  <c r="W3" i="2"/>
  <c r="W21" i="2" s="1"/>
  <c r="V29" i="2"/>
  <c r="U29" i="2"/>
  <c r="V26" i="2"/>
  <c r="U26" i="2"/>
  <c r="V21" i="2"/>
  <c r="U21" i="2"/>
  <c r="T14" i="2"/>
  <c r="T7" i="2"/>
  <c r="T27" i="2" s="1"/>
  <c r="T5" i="2"/>
  <c r="T8" i="2" s="1"/>
  <c r="T25" i="2" s="1"/>
  <c r="U14" i="2"/>
  <c r="U7" i="2"/>
  <c r="U27" i="2" s="1"/>
  <c r="U5" i="2"/>
  <c r="U8" i="2" s="1"/>
  <c r="U25" i="2" s="1"/>
  <c r="V14" i="2"/>
  <c r="V7" i="2"/>
  <c r="V27" i="2" s="1"/>
  <c r="V5" i="2"/>
  <c r="V8" i="2" s="1"/>
  <c r="V25" i="2" s="1"/>
  <c r="N26" i="2"/>
  <c r="L29" i="2"/>
  <c r="K29" i="2"/>
  <c r="J29" i="2"/>
  <c r="I29" i="2"/>
  <c r="H29" i="2"/>
  <c r="G29" i="2"/>
  <c r="L26" i="2"/>
  <c r="K26" i="2"/>
  <c r="J26" i="2"/>
  <c r="I26" i="2"/>
  <c r="H26" i="2"/>
  <c r="G26" i="2"/>
  <c r="L21" i="2"/>
  <c r="K21" i="2"/>
  <c r="J21" i="2"/>
  <c r="I21" i="2"/>
  <c r="H21" i="2"/>
  <c r="G21" i="2"/>
  <c r="C14" i="2"/>
  <c r="C7" i="2"/>
  <c r="C28" i="2" s="1"/>
  <c r="C5" i="2"/>
  <c r="C8" i="2" s="1"/>
  <c r="D14" i="2"/>
  <c r="D7" i="2"/>
  <c r="D28" i="2" s="1"/>
  <c r="D5" i="2"/>
  <c r="D8" i="2" s="1"/>
  <c r="E14" i="2"/>
  <c r="E7" i="2"/>
  <c r="E27" i="2" s="1"/>
  <c r="E5" i="2"/>
  <c r="E8" i="2" s="1"/>
  <c r="I13" i="2"/>
  <c r="I14" i="2" s="1"/>
  <c r="I7" i="2"/>
  <c r="I28" i="2" s="1"/>
  <c r="I5" i="2"/>
  <c r="I8" i="2" s="1"/>
  <c r="F14" i="2"/>
  <c r="F7" i="2"/>
  <c r="F28" i="2" s="1"/>
  <c r="F5" i="2"/>
  <c r="F8" i="2" s="1"/>
  <c r="F25" i="2" s="1"/>
  <c r="J14" i="2"/>
  <c r="J7" i="2"/>
  <c r="J28" i="2" s="1"/>
  <c r="J5" i="2"/>
  <c r="J8" i="2" s="1"/>
  <c r="G14" i="2"/>
  <c r="G7" i="2"/>
  <c r="G27" i="2" s="1"/>
  <c r="G5" i="2"/>
  <c r="G8" i="2" s="1"/>
  <c r="G25" i="2" s="1"/>
  <c r="K14" i="2"/>
  <c r="K7" i="2"/>
  <c r="K27" i="2" s="1"/>
  <c r="K5" i="2"/>
  <c r="K8" i="2" s="1"/>
  <c r="H14" i="2"/>
  <c r="H7" i="2"/>
  <c r="H27" i="2" s="1"/>
  <c r="H5" i="2"/>
  <c r="H8" i="2" s="1"/>
  <c r="H25" i="2" s="1"/>
  <c r="L14" i="2"/>
  <c r="L7" i="2"/>
  <c r="L28" i="2" s="1"/>
  <c r="L5" i="2"/>
  <c r="L8" i="2" s="1"/>
  <c r="D5" i="1"/>
  <c r="F3" i="1"/>
  <c r="P11" i="2" l="1"/>
  <c r="P14" i="2" s="1"/>
  <c r="P15" i="2" s="1"/>
  <c r="P31" i="2" s="1"/>
  <c r="R15" i="2"/>
  <c r="Q31" i="2"/>
  <c r="Q17" i="2"/>
  <c r="R30" i="2"/>
  <c r="R31" i="2"/>
  <c r="O8" i="2"/>
  <c r="Z5" i="2"/>
  <c r="O7" i="2"/>
  <c r="Z4" i="2"/>
  <c r="AB3" i="2"/>
  <c r="O27" i="2"/>
  <c r="Q30" i="2"/>
  <c r="R27" i="2"/>
  <c r="P27" i="2"/>
  <c r="R25" i="2"/>
  <c r="O24" i="2"/>
  <c r="O28" i="2"/>
  <c r="P24" i="2"/>
  <c r="Q24" i="2"/>
  <c r="Q28" i="2"/>
  <c r="Q22" i="2"/>
  <c r="O22" i="2"/>
  <c r="R21" i="2"/>
  <c r="Q21" i="2"/>
  <c r="P21" i="2"/>
  <c r="O21" i="2"/>
  <c r="C25" i="2"/>
  <c r="E25" i="2"/>
  <c r="I25" i="2"/>
  <c r="V22" i="2"/>
  <c r="W5" i="2"/>
  <c r="J25" i="2"/>
  <c r="X23" i="2"/>
  <c r="K22" i="2"/>
  <c r="L27" i="2"/>
  <c r="E28" i="2"/>
  <c r="K25" i="2"/>
  <c r="H24" i="2"/>
  <c r="C27" i="2"/>
  <c r="T28" i="2"/>
  <c r="K24" i="2"/>
  <c r="F27" i="2"/>
  <c r="L15" i="2"/>
  <c r="L17" i="2" s="1"/>
  <c r="L19" i="2" s="1"/>
  <c r="D25" i="2"/>
  <c r="I22" i="2"/>
  <c r="L24" i="2"/>
  <c r="J27" i="2"/>
  <c r="D27" i="2"/>
  <c r="T22" i="2"/>
  <c r="U22" i="2"/>
  <c r="K28" i="2"/>
  <c r="N7" i="2"/>
  <c r="N28" i="2" s="1"/>
  <c r="H22" i="2"/>
  <c r="I27" i="2"/>
  <c r="J22" i="2"/>
  <c r="X13" i="2"/>
  <c r="X14" i="2" s="1"/>
  <c r="L25" i="2"/>
  <c r="G22" i="2"/>
  <c r="L22" i="2"/>
  <c r="C22" i="2"/>
  <c r="V24" i="2"/>
  <c r="U28" i="2"/>
  <c r="U24" i="2"/>
  <c r="L31" i="2"/>
  <c r="G28" i="2"/>
  <c r="V28" i="2"/>
  <c r="G24" i="2"/>
  <c r="D22" i="2"/>
  <c r="I24" i="2"/>
  <c r="E22" i="2"/>
  <c r="N8" i="2"/>
  <c r="H28" i="2"/>
  <c r="J24" i="2"/>
  <c r="F22" i="2"/>
  <c r="M24" i="2"/>
  <c r="M8" i="2"/>
  <c r="M25" i="2" s="1"/>
  <c r="D8" i="1"/>
  <c r="D9" i="1" s="1"/>
  <c r="N23" i="2"/>
  <c r="Y6" i="2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Y12" i="2"/>
  <c r="Y9" i="2"/>
  <c r="L30" i="2"/>
  <c r="Y3" i="2"/>
  <c r="M21" i="2"/>
  <c r="N21" i="2"/>
  <c r="M22" i="2"/>
  <c r="X26" i="2"/>
  <c r="X5" i="2"/>
  <c r="X7" i="2"/>
  <c r="X28" i="2" s="1"/>
  <c r="X29" i="2"/>
  <c r="X21" i="2"/>
  <c r="W14" i="2"/>
  <c r="W26" i="2"/>
  <c r="W7" i="2"/>
  <c r="W28" i="2" s="1"/>
  <c r="W22" i="2"/>
  <c r="W8" i="2"/>
  <c r="T15" i="2"/>
  <c r="U15" i="2"/>
  <c r="V15" i="2"/>
  <c r="C15" i="2"/>
  <c r="D15" i="2"/>
  <c r="E15" i="2"/>
  <c r="I15" i="2"/>
  <c r="F15" i="2"/>
  <c r="J15" i="2"/>
  <c r="G15" i="2"/>
  <c r="K15" i="2"/>
  <c r="H15" i="2"/>
  <c r="P30" i="2" l="1"/>
  <c r="P28" i="2"/>
  <c r="P17" i="2"/>
  <c r="P19" i="2" s="1"/>
  <c r="Z11" i="2"/>
  <c r="P25" i="2"/>
  <c r="Q32" i="2"/>
  <c r="Q19" i="2"/>
  <c r="R17" i="2"/>
  <c r="O25" i="2"/>
  <c r="O14" i="2"/>
  <c r="O15" i="2" s="1"/>
  <c r="Z10" i="2"/>
  <c r="AB5" i="2"/>
  <c r="AC3" i="2"/>
  <c r="AC5" i="2" s="1"/>
  <c r="Y4" i="2"/>
  <c r="Y5" i="2" s="1"/>
  <c r="Y22" i="2" s="1"/>
  <c r="N24" i="2"/>
  <c r="Y10" i="2"/>
  <c r="N25" i="2"/>
  <c r="F17" i="2"/>
  <c r="F19" i="2" s="1"/>
  <c r="F30" i="2"/>
  <c r="F31" i="2"/>
  <c r="T17" i="2"/>
  <c r="T19" i="2" s="1"/>
  <c r="T30" i="2"/>
  <c r="T31" i="2"/>
  <c r="N22" i="2"/>
  <c r="I17" i="2"/>
  <c r="I19" i="2" s="1"/>
  <c r="I30" i="2"/>
  <c r="I31" i="2"/>
  <c r="W25" i="2"/>
  <c r="U17" i="2"/>
  <c r="U19" i="2" s="1"/>
  <c r="U31" i="2"/>
  <c r="U30" i="2"/>
  <c r="E17" i="2"/>
  <c r="E19" i="2" s="1"/>
  <c r="E30" i="2"/>
  <c r="E31" i="2"/>
  <c r="C17" i="2"/>
  <c r="C19" i="2" s="1"/>
  <c r="C31" i="2"/>
  <c r="C30" i="2"/>
  <c r="J17" i="2"/>
  <c r="J19" i="2" s="1"/>
  <c r="J30" i="2"/>
  <c r="J31" i="2"/>
  <c r="D17" i="2"/>
  <c r="D19" i="2" s="1"/>
  <c r="D31" i="2"/>
  <c r="D30" i="2"/>
  <c r="H17" i="2"/>
  <c r="H19" i="2" s="1"/>
  <c r="H30" i="2"/>
  <c r="H31" i="2"/>
  <c r="K17" i="2"/>
  <c r="K19" i="2" s="1"/>
  <c r="K31" i="2"/>
  <c r="K30" i="2"/>
  <c r="G17" i="2"/>
  <c r="G19" i="2" s="1"/>
  <c r="G31" i="2"/>
  <c r="G30" i="2"/>
  <c r="V17" i="2"/>
  <c r="V19" i="2" s="1"/>
  <c r="V31" i="2"/>
  <c r="V30" i="2"/>
  <c r="Y11" i="2"/>
  <c r="AA9" i="2"/>
  <c r="Y23" i="2"/>
  <c r="M28" i="2"/>
  <c r="Y21" i="2"/>
  <c r="AN25" i="2"/>
  <c r="N14" i="2"/>
  <c r="N15" i="2" s="1"/>
  <c r="N27" i="2"/>
  <c r="M27" i="2"/>
  <c r="M14" i="2"/>
  <c r="M15" i="2" s="1"/>
  <c r="Y29" i="2"/>
  <c r="Y26" i="2"/>
  <c r="Y7" i="2"/>
  <c r="Z21" i="2"/>
  <c r="X24" i="2"/>
  <c r="X27" i="2"/>
  <c r="X8" i="2"/>
  <c r="X25" i="2" s="1"/>
  <c r="X22" i="2"/>
  <c r="W27" i="2"/>
  <c r="W24" i="2"/>
  <c r="W15" i="2"/>
  <c r="P32" i="2" l="1"/>
  <c r="R19" i="2"/>
  <c r="R32" i="2"/>
  <c r="AD3" i="2"/>
  <c r="AE3" i="2" s="1"/>
  <c r="O30" i="2"/>
  <c r="Y14" i="2"/>
  <c r="AA29" i="2"/>
  <c r="Z29" i="2"/>
  <c r="AB9" i="2"/>
  <c r="AA26" i="2"/>
  <c r="Z26" i="2"/>
  <c r="Z23" i="2"/>
  <c r="Z7" i="2"/>
  <c r="N30" i="2"/>
  <c r="N31" i="2"/>
  <c r="Y28" i="2"/>
  <c r="M30" i="2"/>
  <c r="M17" i="2"/>
  <c r="M19" i="2" s="1"/>
  <c r="Y8" i="2"/>
  <c r="Y24" i="2"/>
  <c r="Y27" i="2"/>
  <c r="X15" i="2"/>
  <c r="W17" i="2"/>
  <c r="W19" i="2" s="1"/>
  <c r="W31" i="2"/>
  <c r="W30" i="2"/>
  <c r="AD5" i="2" l="1"/>
  <c r="Z16" i="2"/>
  <c r="O31" i="2"/>
  <c r="O17" i="2"/>
  <c r="AF3" i="2"/>
  <c r="AE5" i="2"/>
  <c r="Z24" i="2"/>
  <c r="N17" i="2"/>
  <c r="N19" i="2" s="1"/>
  <c r="Y15" i="2"/>
  <c r="Y30" i="2" s="1"/>
  <c r="Y25" i="2"/>
  <c r="AC12" i="2"/>
  <c r="AB29" i="2"/>
  <c r="AC9" i="2"/>
  <c r="AB26" i="2"/>
  <c r="AA23" i="2"/>
  <c r="Z28" i="2"/>
  <c r="AA7" i="2"/>
  <c r="AA10" i="2" s="1"/>
  <c r="AA21" i="2"/>
  <c r="Z8" i="2"/>
  <c r="Z22" i="2"/>
  <c r="Y16" i="2"/>
  <c r="M31" i="2"/>
  <c r="X17" i="2"/>
  <c r="X19" i="2" s="1"/>
  <c r="X30" i="2"/>
  <c r="X31" i="2"/>
  <c r="O19" i="2" l="1"/>
  <c r="O32" i="2"/>
  <c r="AA11" i="2"/>
  <c r="AA28" i="2" s="1"/>
  <c r="AG3" i="2"/>
  <c r="AF5" i="2"/>
  <c r="Z25" i="2"/>
  <c r="Y17" i="2"/>
  <c r="Y19" i="2" s="1"/>
  <c r="AD12" i="2"/>
  <c r="AC29" i="2"/>
  <c r="AD9" i="2"/>
  <c r="AC26" i="2"/>
  <c r="AB23" i="2"/>
  <c r="AA8" i="2"/>
  <c r="AA22" i="2"/>
  <c r="AA4" i="2"/>
  <c r="AA24" i="2"/>
  <c r="AB7" i="2"/>
  <c r="AB10" i="2" s="1"/>
  <c r="AB21" i="2"/>
  <c r="Z27" i="2"/>
  <c r="Z14" i="2"/>
  <c r="Z15" i="2" s="1"/>
  <c r="Y31" i="2"/>
  <c r="AH3" i="2" l="1"/>
  <c r="AG5" i="2"/>
  <c r="AB11" i="2"/>
  <c r="AB28" i="2" s="1"/>
  <c r="AA25" i="2"/>
  <c r="AE12" i="2"/>
  <c r="AF12" i="2" s="1"/>
  <c r="AG12" i="2" s="1"/>
  <c r="AH12" i="2" s="1"/>
  <c r="AI12" i="2" s="1"/>
  <c r="AJ12" i="2" s="1"/>
  <c r="AD29" i="2"/>
  <c r="AE9" i="2"/>
  <c r="AD26" i="2"/>
  <c r="AC23" i="2"/>
  <c r="Z31" i="2"/>
  <c r="Z30" i="2"/>
  <c r="AA27" i="2"/>
  <c r="AA14" i="2"/>
  <c r="AA15" i="2" s="1"/>
  <c r="AC7" i="2"/>
  <c r="AC10" i="2" s="1"/>
  <c r="AC21" i="2"/>
  <c r="AB24" i="2"/>
  <c r="AB4" i="2"/>
  <c r="AB8" i="2"/>
  <c r="AB22" i="2"/>
  <c r="AC11" i="2" l="1"/>
  <c r="AC28" i="2" s="1"/>
  <c r="AI3" i="2"/>
  <c r="AH5" i="2"/>
  <c r="AB25" i="2"/>
  <c r="AE29" i="2"/>
  <c r="AF9" i="2"/>
  <c r="AE26" i="2"/>
  <c r="AD23" i="2"/>
  <c r="AC4" i="2"/>
  <c r="AC8" i="2"/>
  <c r="AC22" i="2"/>
  <c r="AD4" i="2"/>
  <c r="AD7" i="2"/>
  <c r="AD10" i="2" s="1"/>
  <c r="AD21" i="2"/>
  <c r="AA31" i="2"/>
  <c r="AA30" i="2"/>
  <c r="AB27" i="2"/>
  <c r="AB14" i="2"/>
  <c r="AB15" i="2" s="1"/>
  <c r="AC24" i="2"/>
  <c r="Z17" i="2"/>
  <c r="AD11" i="2" l="1"/>
  <c r="AD28" i="2" s="1"/>
  <c r="Z32" i="2"/>
  <c r="AJ3" i="2"/>
  <c r="AJ5" i="2" s="1"/>
  <c r="AI5" i="2"/>
  <c r="AC25" i="2"/>
  <c r="AF29" i="2"/>
  <c r="AG9" i="2"/>
  <c r="AF26" i="2"/>
  <c r="AE23" i="2"/>
  <c r="AA17" i="2"/>
  <c r="AC27" i="2"/>
  <c r="AC14" i="2"/>
  <c r="AC15" i="2" s="1"/>
  <c r="AD24" i="2"/>
  <c r="AB31" i="2"/>
  <c r="AB30" i="2"/>
  <c r="AD8" i="2"/>
  <c r="AD22" i="2"/>
  <c r="AE7" i="2"/>
  <c r="AE10" i="2" s="1"/>
  <c r="AE21" i="2"/>
  <c r="Z19" i="2"/>
  <c r="AE11" i="2" l="1"/>
  <c r="AE28" i="2" s="1"/>
  <c r="AA19" i="2"/>
  <c r="AA32" i="2"/>
  <c r="AD25" i="2"/>
  <c r="AG29" i="2"/>
  <c r="AH9" i="2"/>
  <c r="AG26" i="2"/>
  <c r="AF23" i="2"/>
  <c r="AE4" i="2"/>
  <c r="AE8" i="2"/>
  <c r="AE22" i="2"/>
  <c r="AB17" i="2"/>
  <c r="AF7" i="2"/>
  <c r="AF10" i="2" s="1"/>
  <c r="AF21" i="2"/>
  <c r="AE24" i="2"/>
  <c r="AD14" i="2"/>
  <c r="AD15" i="2" s="1"/>
  <c r="AD27" i="2"/>
  <c r="AC31" i="2"/>
  <c r="AC30" i="2"/>
  <c r="AF11" i="2" l="1"/>
  <c r="AF28" i="2" s="1"/>
  <c r="AB32" i="2"/>
  <c r="AE25" i="2"/>
  <c r="AH29" i="2"/>
  <c r="AI9" i="2"/>
  <c r="AH26" i="2"/>
  <c r="AG23" i="2"/>
  <c r="AC17" i="2"/>
  <c r="AD31" i="2"/>
  <c r="AD30" i="2"/>
  <c r="AF8" i="2"/>
  <c r="AF22" i="2"/>
  <c r="AF24" i="2"/>
  <c r="AG4" i="2"/>
  <c r="AG7" i="2"/>
  <c r="AG10" i="2" s="1"/>
  <c r="AG21" i="2"/>
  <c r="AE14" i="2"/>
  <c r="AE15" i="2" s="1"/>
  <c r="AE27" i="2"/>
  <c r="AF4" i="2"/>
  <c r="AB19" i="2"/>
  <c r="AG11" i="2" l="1"/>
  <c r="AG28" i="2" s="1"/>
  <c r="AC19" i="2"/>
  <c r="AC32" i="2"/>
  <c r="AF25" i="2"/>
  <c r="AJ29" i="2"/>
  <c r="AI29" i="2"/>
  <c r="AJ9" i="2"/>
  <c r="AJ26" i="2" s="1"/>
  <c r="AI26" i="2"/>
  <c r="AH23" i="2"/>
  <c r="AF14" i="2"/>
  <c r="AF15" i="2" s="1"/>
  <c r="AE30" i="2"/>
  <c r="AE31" i="2"/>
  <c r="AG24" i="2"/>
  <c r="AF27" i="2"/>
  <c r="AH7" i="2"/>
  <c r="AH10" i="2" s="1"/>
  <c r="AH4" i="2"/>
  <c r="AH21" i="2"/>
  <c r="AG8" i="2"/>
  <c r="AG22" i="2"/>
  <c r="AD17" i="2"/>
  <c r="AD32" i="2" l="1"/>
  <c r="AH11" i="2"/>
  <c r="AH28" i="2" s="1"/>
  <c r="AF31" i="2"/>
  <c r="AG25" i="2"/>
  <c r="AF30" i="2"/>
  <c r="AI23" i="2"/>
  <c r="AJ23" i="2"/>
  <c r="AI7" i="2"/>
  <c r="AI10" i="2" s="1"/>
  <c r="AI21" i="2"/>
  <c r="AG27" i="2"/>
  <c r="AG14" i="2"/>
  <c r="AG15" i="2" s="1"/>
  <c r="AD19" i="2"/>
  <c r="AH24" i="2"/>
  <c r="AH8" i="2"/>
  <c r="AH22" i="2"/>
  <c r="AE17" i="2"/>
  <c r="AE19" i="2" l="1"/>
  <c r="AE32" i="2"/>
  <c r="AI11" i="2"/>
  <c r="AH25" i="2"/>
  <c r="AF17" i="2"/>
  <c r="AG30" i="2"/>
  <c r="AG31" i="2"/>
  <c r="AI8" i="2"/>
  <c r="AI22" i="2"/>
  <c r="AH14" i="2"/>
  <c r="AH15" i="2" s="1"/>
  <c r="AH27" i="2"/>
  <c r="AI4" i="2"/>
  <c r="AI24" i="2"/>
  <c r="AI28" i="2"/>
  <c r="AJ7" i="2"/>
  <c r="AJ10" i="2" s="1"/>
  <c r="AJ21" i="2"/>
  <c r="AF19" i="2" l="1"/>
  <c r="AF32" i="2"/>
  <c r="AJ11" i="2"/>
  <c r="AJ28" i="2" s="1"/>
  <c r="AI25" i="2"/>
  <c r="AH30" i="2"/>
  <c r="AH31" i="2"/>
  <c r="AJ24" i="2"/>
  <c r="AI27" i="2"/>
  <c r="AI14" i="2"/>
  <c r="AI15" i="2" s="1"/>
  <c r="AJ4" i="2"/>
  <c r="AJ8" i="2"/>
  <c r="AJ22" i="2"/>
  <c r="AG17" i="2"/>
  <c r="AG32" i="2" s="1"/>
  <c r="AJ25" i="2" l="1"/>
  <c r="AG19" i="2"/>
  <c r="AJ27" i="2"/>
  <c r="AJ14" i="2"/>
  <c r="AJ15" i="2" s="1"/>
  <c r="AI30" i="2"/>
  <c r="AI31" i="2"/>
  <c r="AH17" i="2"/>
  <c r="AH19" i="2" l="1"/>
  <c r="AH32" i="2"/>
  <c r="AJ31" i="2"/>
  <c r="AJ30" i="2"/>
  <c r="AI17" i="2"/>
  <c r="AI19" i="2" l="1"/>
  <c r="AI32" i="2"/>
  <c r="AJ17" i="2"/>
  <c r="AJ19" i="2" l="1"/>
  <c r="AJ32" i="2"/>
  <c r="AK17" i="2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EQ17" i="2" s="1"/>
  <c r="ER17" i="2" s="1"/>
  <c r="ES17" i="2" s="1"/>
  <c r="ET17" i="2" s="1"/>
  <c r="EU17" i="2" s="1"/>
  <c r="EV17" i="2" s="1"/>
  <c r="AN24" i="2" l="1"/>
  <c r="AN26" i="2" s="1"/>
  <c r="AN27" i="2" s="1"/>
  <c r="AN29" i="2" s="1"/>
</calcChain>
</file>

<file path=xl/sharedStrings.xml><?xml version="1.0" encoding="utf-8"?>
<sst xmlns="http://schemas.openxmlformats.org/spreadsheetml/2006/main" count="69" uniqueCount="65">
  <si>
    <t>Price</t>
  </si>
  <si>
    <t>Shares</t>
  </si>
  <si>
    <t>MC</t>
  </si>
  <si>
    <t>Cash</t>
  </si>
  <si>
    <t>Debt</t>
  </si>
  <si>
    <t>Net Cash</t>
  </si>
  <si>
    <t>EV</t>
  </si>
  <si>
    <t>SOFI</t>
  </si>
  <si>
    <t>Last time checked</t>
  </si>
  <si>
    <t>Today</t>
  </si>
  <si>
    <t>Earnings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</si>
  <si>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</si>
  <si>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</si>
  <si>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</si>
  <si>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</si>
  <si>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</si>
  <si>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</si>
  <si>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</si>
  <si>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</si>
  <si>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</si>
  <si>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</si>
  <si>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</si>
  <si>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</si>
  <si>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Interest income</t>
  </si>
  <si>
    <t>Interest expense</t>
  </si>
  <si>
    <t>Non-interest income</t>
  </si>
  <si>
    <t>Total revenue</t>
  </si>
  <si>
    <t>R&amp;D</t>
  </si>
  <si>
    <t>S&amp;M</t>
  </si>
  <si>
    <t>Cost of operations</t>
  </si>
  <si>
    <t>G&amp;A</t>
  </si>
  <si>
    <t>Credit loss provision</t>
  </si>
  <si>
    <t>Total operating expenses</t>
  </si>
  <si>
    <t>Operating profit</t>
  </si>
  <si>
    <t>Taxes</t>
  </si>
  <si>
    <t>Net profit</t>
  </si>
  <si>
    <t>EPS</t>
  </si>
  <si>
    <t>Net interest income</t>
  </si>
  <si>
    <t>Interest revenue y/y</t>
  </si>
  <si>
    <t>Interest Margin</t>
  </si>
  <si>
    <t>Gross Margin</t>
  </si>
  <si>
    <t>Revenue y/y</t>
  </si>
  <si>
    <t>Non-interest revenue y/y</t>
  </si>
  <si>
    <t>S&amp;M Margin</t>
  </si>
  <si>
    <t>R&amp;D y/y</t>
  </si>
  <si>
    <t>G&amp;A y/y</t>
  </si>
  <si>
    <t>Operations Margin</t>
  </si>
  <si>
    <t>Operating Margin</t>
  </si>
  <si>
    <t>Net Margin</t>
  </si>
  <si>
    <t>Discount rate</t>
  </si>
  <si>
    <t>Maturity</t>
  </si>
  <si>
    <t>NPV</t>
  </si>
  <si>
    <t>Net cash</t>
  </si>
  <si>
    <t>Value</t>
  </si>
  <si>
    <t>Per share</t>
  </si>
  <si>
    <t>Current price</t>
  </si>
  <si>
    <t>Variance</t>
  </si>
  <si>
    <t>Consensus</t>
  </si>
  <si>
    <t>Total net revenue</t>
  </si>
  <si>
    <t>Q125</t>
  </si>
  <si>
    <t>Q225</t>
  </si>
  <si>
    <t>Q325</t>
  </si>
  <si>
    <t>Q425</t>
  </si>
  <si>
    <t>Q125 8K</t>
  </si>
  <si>
    <t>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</si>
</sst>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</xdr:colOff>
      <xdr:row>0</xdr:row>
      <xdr:rowOff>7620</xdr:rowOff>
    </xdr:from>
    <xdr:to>
      <xdr:col>15</xdr:col>
      <xdr:colOff>30480</xdr:colOff>
      <xdr:row>33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3DD349E-9F2F-2F18-061B-B05D0355F060}"/>
            </a:ext>
          </a:extLst>
        </xdr:cNvPr>
        <xdr:cNvCxnSpPr/>
      </xdr:nvCxnSpPr>
      <xdr:spPr>
        <a:xfrm>
          <a:off x="10081260" y="762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22860</xdr:colOff>
      <xdr:row>0</xdr:row>
      <xdr:rowOff>7620</xdr:rowOff>
    </xdr:from>
    <xdr:to>
      <xdr:col>25</xdr:col>
      <xdr:colOff>22860</xdr:colOff>
      <xdr:row>33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E999060-8908-50BF-0B0E-186C99C7667A}"/>
            </a:ext>
          </a:extLst>
        </xdr:cNvPr>
        <xdr:cNvCxnSpPr/>
      </xdr:nvCxnSpPr>
      <xdr:spPr>
        <a:xfrm>
          <a:off x="16169640" y="762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99CD4-8F71-4B47-852F-A6C030D0CED3}">
  <dimension ref="B2:G9"/>
  <sheetViews>
    <sheetView workbookViewId="0">
      <selection activeCell="D4" sqref="D4"/>
    </sheetView>
  </sheetViews>
  <sheetFormatPr defaultRowHeight="14.4" x14ac:dyDescent="0.3"/>
  <cols>
    <col min="4" max="4" width="9.6640625" bestFit="1" customWidth="1"/>
    <col min="5" max="7" width="16.6640625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7</v>
      </c>
      <c r="C3" t="s">
        <v>0</v>
      </c>
      <c r="D3" s="4">
        <v>12.7</v>
      </c>
      <c r="E3" s="3">
        <v>45781</v>
      </c>
      <c r="F3" s="3">
        <f ca="1">TODAY()</f>
        <v>45781</v>
      </c>
      <c r="G3" s="3">
        <v>45874</v>
      </c>
    </row>
    <row r="4" spans="2:7" x14ac:dyDescent="0.3">
      <c r="C4" t="s">
        <v>1</v>
      </c>
      <c r="D4" s="5">
        <v>1098</v>
      </c>
      <c r="E4" s="2" t="s">
        <v>63</v>
      </c>
    </row>
    <row r="5" spans="2:7" x14ac:dyDescent="0.3">
      <c r="C5" t="s">
        <v>2</v>
      </c>
      <c r="D5" s="5">
        <f>D3*D4</f>
        <v>13944.599999999999</v>
      </c>
    </row>
    <row r="6" spans="2:7" x14ac:dyDescent="0.3">
      <c r="C6" t="s">
        <v>3</v>
      </c>
      <c r="D6" s="5">
        <f>2085.7+630.4+2153.5</f>
        <v>4869.6000000000004</v>
      </c>
      <c r="E6" s="2" t="s">
        <v>59</v>
      </c>
    </row>
    <row r="7" spans="2:7" x14ac:dyDescent="0.3">
      <c r="C7" t="s">
        <v>4</v>
      </c>
      <c r="D7" s="5">
        <f>3046.1+0.6</f>
        <v>3046.7</v>
      </c>
      <c r="E7" s="2" t="s">
        <v>59</v>
      </c>
    </row>
    <row r="8" spans="2:7" x14ac:dyDescent="0.3">
      <c r="C8" t="s">
        <v>5</v>
      </c>
      <c r="D8" s="5">
        <f>D6-D7</f>
        <v>1822.9000000000005</v>
      </c>
    </row>
    <row r="9" spans="2:7" x14ac:dyDescent="0.3">
      <c r="C9" t="s">
        <v>6</v>
      </c>
      <c r="D9" s="5">
        <f>D5-D8</f>
        <v>12121.699999999997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BFAB-902F-4DEB-8A46-719A6B31BD2B}">
  <dimension ref="B2:EV32"/>
  <sheetViews>
    <sheetView tabSelected="1" workbookViewId="0">
      <pane xSplit="2" ySplit="2" topLeftCell="AF6" activePane="bottomRight" state="frozen"/>
      <selection pane="topRight" activeCell="C1" sqref="C1"/>
      <selection pane="bottomLeft" activeCell="A3" sqref="A3"/>
      <selection pane="bottomRight" activeCell="AN32" sqref="AN32"/>
    </sheetView>
  </sheetViews>
  <sheetFormatPr defaultRowHeight="14.4" x14ac:dyDescent="0.3"/>
  <cols>
    <col min="2" max="2" width="22.109375" customWidth="1"/>
    <col min="39" max="39" width="11.88671875" bestFit="1" customWidth="1"/>
    <col min="40" max="40" width="16.21875" bestFit="1" customWidth="1"/>
  </cols>
  <sheetData>
    <row r="2" spans="2:36" x14ac:dyDescent="0.3"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20</v>
      </c>
      <c r="M2" s="6" t="s">
        <v>21</v>
      </c>
      <c r="N2" s="6" t="s">
        <v>22</v>
      </c>
      <c r="O2" s="6" t="s">
        <v>59</v>
      </c>
      <c r="P2" s="6" t="s">
        <v>60</v>
      </c>
      <c r="Q2" s="6" t="s">
        <v>61</v>
      </c>
      <c r="R2" s="6" t="s">
        <v>62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  <c r="AG2">
        <v>2032</v>
      </c>
      <c r="AH2">
        <v>2033</v>
      </c>
      <c r="AI2">
        <v>2034</v>
      </c>
      <c r="AJ2">
        <v>2035</v>
      </c>
    </row>
    <row r="3" spans="2:36" x14ac:dyDescent="0.3">
      <c r="B3" t="s">
        <v>23</v>
      </c>
      <c r="C3" s="5">
        <v>118.4</v>
      </c>
      <c r="D3" s="5">
        <v>149.5</v>
      </c>
      <c r="E3" s="5">
        <v>198</v>
      </c>
      <c r="F3" s="5">
        <v>307.39999999999998</v>
      </c>
      <c r="G3" s="5">
        <v>371.6</v>
      </c>
      <c r="H3" s="5">
        <v>470</v>
      </c>
      <c r="I3" s="5">
        <v>564.29999999999995</v>
      </c>
      <c r="J3" s="5">
        <v>645.20000000000005</v>
      </c>
      <c r="K3" s="5">
        <v>665.9</v>
      </c>
      <c r="L3" s="5">
        <v>674.6</v>
      </c>
      <c r="M3" s="5">
        <v>723.4</v>
      </c>
      <c r="N3" s="5">
        <v>743.9</v>
      </c>
      <c r="O3" s="5">
        <v>763.8</v>
      </c>
      <c r="P3" s="5">
        <f>L3*1.15</f>
        <v>775.79</v>
      </c>
      <c r="Q3" s="5">
        <f>M3*1.12</f>
        <v>810.20800000000008</v>
      </c>
      <c r="R3" s="5">
        <f>N3*1.11</f>
        <v>825.72900000000004</v>
      </c>
      <c r="T3" s="5">
        <v>608.20000000000005</v>
      </c>
      <c r="U3" s="5">
        <v>363.5</v>
      </c>
      <c r="V3" s="5">
        <v>355</v>
      </c>
      <c r="W3" s="5">
        <f>SUM(C3:F3)</f>
        <v>773.3</v>
      </c>
      <c r="X3" s="5">
        <f>SUM(G3:J3)</f>
        <v>2051.1000000000004</v>
      </c>
      <c r="Y3" s="5">
        <f>SUM(K3:N3)</f>
        <v>2807.8</v>
      </c>
      <c r="Z3" s="5">
        <f>SUM(O3:R3)</f>
        <v>3175.527</v>
      </c>
      <c r="AA3" s="5">
        <f>Z3*1.09</f>
        <v>3461.3244300000001</v>
      </c>
      <c r="AB3" s="5">
        <f>AA3*1.06</f>
        <v>3669.0038958000005</v>
      </c>
      <c r="AC3" s="5">
        <f>AB3*1.04</f>
        <v>3815.7640516320007</v>
      </c>
      <c r="AD3" s="5">
        <f>AC3*1.03</f>
        <v>3930.2369731809608</v>
      </c>
      <c r="AE3" s="5">
        <f>AD3*1.02</f>
        <v>4008.8417126445802</v>
      </c>
      <c r="AF3" s="5">
        <f>AE3*1.01</f>
        <v>4048.9301297710258</v>
      </c>
      <c r="AG3" s="5">
        <f t="shared" ref="AG3:AJ3" si="0">AF3*1.01</f>
        <v>4089.4194310687362</v>
      </c>
      <c r="AH3" s="5">
        <f t="shared" si="0"/>
        <v>4130.3136253794237</v>
      </c>
      <c r="AI3" s="5">
        <f t="shared" si="0"/>
        <v>4171.6167616332177</v>
      </c>
      <c r="AJ3" s="5">
        <f t="shared" si="0"/>
        <v>4213.33292924955</v>
      </c>
    </row>
    <row r="4" spans="2:36" x14ac:dyDescent="0.3">
      <c r="B4" t="s">
        <v>24</v>
      </c>
      <c r="C4" s="5">
        <v>23.5</v>
      </c>
      <c r="D4" s="5">
        <v>26.8</v>
      </c>
      <c r="E4" s="5">
        <v>40.200000000000003</v>
      </c>
      <c r="F4" s="5">
        <v>98.8</v>
      </c>
      <c r="G4" s="5">
        <v>135.6</v>
      </c>
      <c r="H4" s="5">
        <v>178.9</v>
      </c>
      <c r="I4" s="5">
        <v>219.3</v>
      </c>
      <c r="J4" s="5">
        <v>255.6</v>
      </c>
      <c r="K4" s="5">
        <v>263.2</v>
      </c>
      <c r="L4" s="5">
        <v>262</v>
      </c>
      <c r="M4" s="5">
        <v>292.39999999999998</v>
      </c>
      <c r="N4" s="5">
        <v>273.8</v>
      </c>
      <c r="O4" s="5">
        <v>265.10000000000002</v>
      </c>
      <c r="P4" s="5">
        <f t="shared" ref="P4:R4" si="1">P3-P5</f>
        <v>287.04229999999995</v>
      </c>
      <c r="Q4" s="5">
        <f t="shared" si="1"/>
        <v>299.77696000000003</v>
      </c>
      <c r="R4" s="5">
        <f t="shared" si="1"/>
        <v>305.51972999999998</v>
      </c>
      <c r="T4" s="5">
        <v>278.39999999999998</v>
      </c>
      <c r="U4" s="5">
        <v>185.6</v>
      </c>
      <c r="V4" s="5">
        <v>102.8</v>
      </c>
      <c r="W4" s="5">
        <f>SUM(C4:F4)</f>
        <v>189.3</v>
      </c>
      <c r="X4" s="5">
        <f>SUM(G4:J4)</f>
        <v>789.4</v>
      </c>
      <c r="Y4" s="5">
        <f>SUM(K4:N4)</f>
        <v>1091.4000000000001</v>
      </c>
      <c r="Z4" s="5">
        <f>SUM(O4:R4)</f>
        <v>1157.4389900000001</v>
      </c>
      <c r="AA4" s="5">
        <f t="shared" ref="AA4:AJ4" si="2">AA3-AA5</f>
        <v>1280.6900390999999</v>
      </c>
      <c r="AB4" s="5">
        <f t="shared" si="2"/>
        <v>1357.5314414460004</v>
      </c>
      <c r="AC4" s="5">
        <f t="shared" si="2"/>
        <v>1411.8326991038402</v>
      </c>
      <c r="AD4" s="5">
        <f t="shared" si="2"/>
        <v>1454.1876800769555</v>
      </c>
      <c r="AE4" s="5">
        <f t="shared" si="2"/>
        <v>1483.2714336784948</v>
      </c>
      <c r="AF4" s="5">
        <f t="shared" si="2"/>
        <v>1498.1041480152794</v>
      </c>
      <c r="AG4" s="5">
        <f t="shared" si="2"/>
        <v>1513.0851894954326</v>
      </c>
      <c r="AH4" s="5">
        <f t="shared" si="2"/>
        <v>1528.2160413903866</v>
      </c>
      <c r="AI4" s="5">
        <f t="shared" si="2"/>
        <v>1543.4982018042906</v>
      </c>
      <c r="AJ4" s="5">
        <f t="shared" si="2"/>
        <v>1558.9331838223334</v>
      </c>
    </row>
    <row r="5" spans="2:36" x14ac:dyDescent="0.3">
      <c r="B5" t="s">
        <v>37</v>
      </c>
      <c r="C5" s="5">
        <f t="shared" ref="C5:O5" si="3">C3-C4</f>
        <v>94.9</v>
      </c>
      <c r="D5" s="5">
        <f t="shared" si="3"/>
        <v>122.7</v>
      </c>
      <c r="E5" s="5">
        <f t="shared" si="3"/>
        <v>157.80000000000001</v>
      </c>
      <c r="F5" s="5">
        <f t="shared" si="3"/>
        <v>208.59999999999997</v>
      </c>
      <c r="G5" s="5">
        <f t="shared" si="3"/>
        <v>236.00000000000003</v>
      </c>
      <c r="H5" s="5">
        <f t="shared" si="3"/>
        <v>291.10000000000002</v>
      </c>
      <c r="I5" s="5">
        <f t="shared" si="3"/>
        <v>344.99999999999994</v>
      </c>
      <c r="J5" s="5">
        <f t="shared" si="3"/>
        <v>389.6</v>
      </c>
      <c r="K5" s="5">
        <f t="shared" si="3"/>
        <v>402.7</v>
      </c>
      <c r="L5" s="5">
        <f t="shared" si="3"/>
        <v>412.6</v>
      </c>
      <c r="M5" s="5">
        <f t="shared" si="3"/>
        <v>431</v>
      </c>
      <c r="N5" s="5">
        <f t="shared" si="3"/>
        <v>470.09999999999997</v>
      </c>
      <c r="O5" s="5">
        <f t="shared" si="3"/>
        <v>498.69999999999993</v>
      </c>
      <c r="P5" s="5">
        <f>P3*0.63</f>
        <v>488.74770000000001</v>
      </c>
      <c r="Q5" s="5">
        <f t="shared" ref="Q5:R5" si="4">Q3*0.63</f>
        <v>510.43104000000005</v>
      </c>
      <c r="R5" s="5">
        <f t="shared" si="4"/>
        <v>520.20927000000006</v>
      </c>
      <c r="T5" s="5">
        <f t="shared" ref="T5:Y5" si="5">T3-T4</f>
        <v>329.80000000000007</v>
      </c>
      <c r="U5" s="5">
        <f t="shared" si="5"/>
        <v>177.9</v>
      </c>
      <c r="V5" s="5">
        <f t="shared" si="5"/>
        <v>252.2</v>
      </c>
      <c r="W5" s="5">
        <f t="shared" si="5"/>
        <v>584</v>
      </c>
      <c r="X5" s="5">
        <f t="shared" si="5"/>
        <v>1261.7000000000003</v>
      </c>
      <c r="Y5" s="5">
        <f t="shared" si="5"/>
        <v>1716.4</v>
      </c>
      <c r="Z5" s="5">
        <f>SUM(O5:R5)</f>
        <v>2018.0880100000002</v>
      </c>
      <c r="AA5" s="5">
        <f>AA3*0.63</f>
        <v>2180.6343909000002</v>
      </c>
      <c r="AB5" s="5">
        <f t="shared" ref="AB5:AJ5" si="6">AB3*0.63</f>
        <v>2311.4724543540001</v>
      </c>
      <c r="AC5" s="5">
        <f t="shared" si="6"/>
        <v>2403.9313525281605</v>
      </c>
      <c r="AD5" s="5">
        <f t="shared" si="6"/>
        <v>2476.0492931040053</v>
      </c>
      <c r="AE5" s="5">
        <f t="shared" si="6"/>
        <v>2525.5702789660854</v>
      </c>
      <c r="AF5" s="5">
        <f t="shared" si="6"/>
        <v>2550.8259817557464</v>
      </c>
      <c r="AG5" s="5">
        <f t="shared" si="6"/>
        <v>2576.3342415733036</v>
      </c>
      <c r="AH5" s="5">
        <f t="shared" si="6"/>
        <v>2602.097583989037</v>
      </c>
      <c r="AI5" s="5">
        <f t="shared" si="6"/>
        <v>2628.1185598289271</v>
      </c>
      <c r="AJ5" s="5">
        <f t="shared" si="6"/>
        <v>2654.3997454272167</v>
      </c>
    </row>
    <row r="6" spans="2:36" x14ac:dyDescent="0.3">
      <c r="B6" t="s">
        <v>25</v>
      </c>
      <c r="C6" s="5">
        <v>235.4</v>
      </c>
      <c r="D6" s="5">
        <v>239.7</v>
      </c>
      <c r="E6" s="5">
        <v>266.10000000000002</v>
      </c>
      <c r="F6" s="5">
        <v>248.1</v>
      </c>
      <c r="G6" s="5">
        <v>236.1</v>
      </c>
      <c r="H6" s="5">
        <v>206.9</v>
      </c>
      <c r="I6" s="5">
        <v>192.2</v>
      </c>
      <c r="J6" s="5">
        <v>225.8</v>
      </c>
      <c r="K6" s="5">
        <v>242.3</v>
      </c>
      <c r="L6" s="5">
        <v>186</v>
      </c>
      <c r="M6" s="5">
        <v>266.10000000000002</v>
      </c>
      <c r="N6" s="5">
        <v>264</v>
      </c>
      <c r="O6" s="5">
        <v>273</v>
      </c>
      <c r="P6" s="5">
        <f>L6*1.5</f>
        <v>279</v>
      </c>
      <c r="Q6" s="5">
        <f>M6*1.08</f>
        <v>287.38800000000003</v>
      </c>
      <c r="R6" s="5">
        <f t="shared" ref="R6" si="7">N6*1.15</f>
        <v>303.59999999999997</v>
      </c>
      <c r="T6" s="5">
        <v>112.8</v>
      </c>
      <c r="U6" s="5">
        <v>387.6</v>
      </c>
      <c r="V6" s="5">
        <v>732.6</v>
      </c>
      <c r="W6" s="5">
        <f>SUM(C6:F6)</f>
        <v>989.30000000000007</v>
      </c>
      <c r="X6" s="5">
        <f>SUM(G6:J6)</f>
        <v>861</v>
      </c>
      <c r="Y6" s="5">
        <f>SUM(K6:N6)</f>
        <v>958.40000000000009</v>
      </c>
      <c r="Z6" s="5">
        <f>SUM(O6:R6)</f>
        <v>1142.9880000000001</v>
      </c>
      <c r="AA6" s="5">
        <f>Z6*1.09</f>
        <v>1245.8569200000002</v>
      </c>
      <c r="AB6" s="5">
        <f>AA6*1.07</f>
        <v>1333.0669044000003</v>
      </c>
      <c r="AC6" s="5">
        <f>AB6*1.05</f>
        <v>1399.7202496200005</v>
      </c>
      <c r="AD6" s="5">
        <f>AC6*1.04</f>
        <v>1455.7090596048006</v>
      </c>
      <c r="AE6" s="5">
        <f>AD6*1.03</f>
        <v>1499.3803313929448</v>
      </c>
      <c r="AF6" s="5">
        <f>AE6*1.02</f>
        <v>1529.3679380208036</v>
      </c>
      <c r="AG6" s="5">
        <f t="shared" ref="AG6:AJ6" si="8">AF6*1.02</f>
        <v>1559.9552967812197</v>
      </c>
      <c r="AH6" s="5">
        <f t="shared" si="8"/>
        <v>1591.1544027168441</v>
      </c>
      <c r="AI6" s="5">
        <f t="shared" si="8"/>
        <v>1622.977490771181</v>
      </c>
      <c r="AJ6" s="5">
        <f t="shared" si="8"/>
        <v>1655.4370405866046</v>
      </c>
    </row>
    <row r="7" spans="2:36" s="1" customFormat="1" x14ac:dyDescent="0.3">
      <c r="B7" s="1" t="s">
        <v>26</v>
      </c>
      <c r="C7" s="8">
        <f t="shared" ref="C7:L7" si="9">C3+C6</f>
        <v>353.8</v>
      </c>
      <c r="D7" s="8">
        <f t="shared" si="9"/>
        <v>389.2</v>
      </c>
      <c r="E7" s="8">
        <f t="shared" si="9"/>
        <v>464.1</v>
      </c>
      <c r="F7" s="8">
        <f t="shared" si="9"/>
        <v>555.5</v>
      </c>
      <c r="G7" s="8">
        <f t="shared" si="9"/>
        <v>607.70000000000005</v>
      </c>
      <c r="H7" s="8">
        <f t="shared" si="9"/>
        <v>676.9</v>
      </c>
      <c r="I7" s="8">
        <f t="shared" si="9"/>
        <v>756.5</v>
      </c>
      <c r="J7" s="8">
        <f t="shared" si="9"/>
        <v>871</v>
      </c>
      <c r="K7" s="8">
        <f t="shared" si="9"/>
        <v>908.2</v>
      </c>
      <c r="L7" s="8">
        <f t="shared" si="9"/>
        <v>860.6</v>
      </c>
      <c r="M7" s="8">
        <f t="shared" ref="M7:N7" si="10">M3+M6</f>
        <v>989.5</v>
      </c>
      <c r="N7" s="8">
        <f t="shared" si="10"/>
        <v>1007.9</v>
      </c>
      <c r="O7" s="8">
        <f t="shared" ref="O7:R7" si="11">O3+O6</f>
        <v>1036.8</v>
      </c>
      <c r="P7" s="8">
        <f t="shared" si="11"/>
        <v>1054.79</v>
      </c>
      <c r="Q7" s="8">
        <f t="shared" si="11"/>
        <v>1097.596</v>
      </c>
      <c r="R7" s="8">
        <f t="shared" si="11"/>
        <v>1129.329</v>
      </c>
      <c r="T7" s="8">
        <f t="shared" ref="T7:Y7" si="12">T3+T6</f>
        <v>721</v>
      </c>
      <c r="U7" s="8">
        <f t="shared" si="12"/>
        <v>751.1</v>
      </c>
      <c r="V7" s="8">
        <f t="shared" si="12"/>
        <v>1087.5999999999999</v>
      </c>
      <c r="W7" s="8">
        <f t="shared" si="12"/>
        <v>1762.6</v>
      </c>
      <c r="X7" s="8">
        <f t="shared" si="12"/>
        <v>2912.1000000000004</v>
      </c>
      <c r="Y7" s="8">
        <f t="shared" si="12"/>
        <v>3766.2000000000003</v>
      </c>
      <c r="Z7" s="8">
        <f t="shared" ref="Z7:AJ7" si="13">Z3+Z6</f>
        <v>4318.5150000000003</v>
      </c>
      <c r="AA7" s="8">
        <f t="shared" si="13"/>
        <v>4707.1813500000007</v>
      </c>
      <c r="AB7" s="8">
        <f t="shared" si="13"/>
        <v>5002.070800200001</v>
      </c>
      <c r="AC7" s="8">
        <f t="shared" si="13"/>
        <v>5215.4843012520014</v>
      </c>
      <c r="AD7" s="8">
        <f t="shared" si="13"/>
        <v>5385.9460327857614</v>
      </c>
      <c r="AE7" s="8">
        <f t="shared" si="13"/>
        <v>5508.2220440375249</v>
      </c>
      <c r="AF7" s="8">
        <f t="shared" si="13"/>
        <v>5578.2980677918295</v>
      </c>
      <c r="AG7" s="8">
        <f t="shared" si="13"/>
        <v>5649.3747278499559</v>
      </c>
      <c r="AH7" s="8">
        <f t="shared" si="13"/>
        <v>5721.4680280962675</v>
      </c>
      <c r="AI7" s="8">
        <f t="shared" si="13"/>
        <v>5794.5942524043985</v>
      </c>
      <c r="AJ7" s="8">
        <f t="shared" si="13"/>
        <v>5868.7699698361548</v>
      </c>
    </row>
    <row r="8" spans="2:36" s="1" customFormat="1" x14ac:dyDescent="0.3">
      <c r="B8" s="1" t="s">
        <v>58</v>
      </c>
      <c r="C8" s="8">
        <f t="shared" ref="C8:L8" si="14">C5+C6</f>
        <v>330.3</v>
      </c>
      <c r="D8" s="8">
        <f t="shared" si="14"/>
        <v>362.4</v>
      </c>
      <c r="E8" s="8">
        <f t="shared" si="14"/>
        <v>423.90000000000003</v>
      </c>
      <c r="F8" s="8">
        <f t="shared" si="14"/>
        <v>456.69999999999993</v>
      </c>
      <c r="G8" s="8">
        <f t="shared" si="14"/>
        <v>472.1</v>
      </c>
      <c r="H8" s="8">
        <f t="shared" si="14"/>
        <v>498</v>
      </c>
      <c r="I8" s="8">
        <f t="shared" si="14"/>
        <v>537.19999999999993</v>
      </c>
      <c r="J8" s="8">
        <f t="shared" si="14"/>
        <v>615.40000000000009</v>
      </c>
      <c r="K8" s="8">
        <f t="shared" si="14"/>
        <v>645</v>
      </c>
      <c r="L8" s="8">
        <f t="shared" si="14"/>
        <v>598.6</v>
      </c>
      <c r="M8" s="8">
        <f t="shared" ref="M8:N8" si="15">M5+M6</f>
        <v>697.1</v>
      </c>
      <c r="N8" s="8">
        <f t="shared" si="15"/>
        <v>734.09999999999991</v>
      </c>
      <c r="O8" s="8">
        <f t="shared" ref="O8:R8" si="16">O5+O6</f>
        <v>771.69999999999993</v>
      </c>
      <c r="P8" s="8">
        <f t="shared" si="16"/>
        <v>767.74770000000001</v>
      </c>
      <c r="Q8" s="8">
        <f t="shared" si="16"/>
        <v>797.81904000000009</v>
      </c>
      <c r="R8" s="8">
        <f t="shared" si="16"/>
        <v>823.80926999999997</v>
      </c>
      <c r="T8" s="8">
        <f t="shared" ref="T8:Y8" si="17">T5+T6</f>
        <v>442.60000000000008</v>
      </c>
      <c r="U8" s="8">
        <f t="shared" si="17"/>
        <v>565.5</v>
      </c>
      <c r="V8" s="8">
        <f t="shared" si="17"/>
        <v>984.8</v>
      </c>
      <c r="W8" s="8">
        <f t="shared" si="17"/>
        <v>1573.3000000000002</v>
      </c>
      <c r="X8" s="8">
        <f t="shared" si="17"/>
        <v>2122.7000000000003</v>
      </c>
      <c r="Y8" s="8">
        <f t="shared" si="17"/>
        <v>2674.8</v>
      </c>
      <c r="Z8" s="8">
        <f t="shared" ref="Z8:AJ8" si="18">Z5+Z6</f>
        <v>3161.0760100000002</v>
      </c>
      <c r="AA8" s="8">
        <f t="shared" si="18"/>
        <v>3426.4913109000004</v>
      </c>
      <c r="AB8" s="8">
        <f t="shared" si="18"/>
        <v>3644.5393587540002</v>
      </c>
      <c r="AC8" s="8">
        <f t="shared" si="18"/>
        <v>3803.6516021481611</v>
      </c>
      <c r="AD8" s="8">
        <f t="shared" si="18"/>
        <v>3931.7583527088059</v>
      </c>
      <c r="AE8" s="8">
        <f t="shared" si="18"/>
        <v>4024.9506103590302</v>
      </c>
      <c r="AF8" s="8">
        <f t="shared" si="18"/>
        <v>4080.19391977655</v>
      </c>
      <c r="AG8" s="8">
        <f t="shared" si="18"/>
        <v>4136.2895383545238</v>
      </c>
      <c r="AH8" s="8">
        <f t="shared" si="18"/>
        <v>4193.2519867058809</v>
      </c>
      <c r="AI8" s="8">
        <f t="shared" si="18"/>
        <v>4251.0960506001084</v>
      </c>
      <c r="AJ8" s="8">
        <f t="shared" si="18"/>
        <v>4309.8367860138214</v>
      </c>
    </row>
    <row r="9" spans="2:36" x14ac:dyDescent="0.3">
      <c r="B9" t="s">
        <v>27</v>
      </c>
      <c r="C9" s="5">
        <v>81.900000000000006</v>
      </c>
      <c r="D9" s="5">
        <v>99.4</v>
      </c>
      <c r="E9" s="5">
        <v>110.7</v>
      </c>
      <c r="F9" s="5">
        <v>113.3</v>
      </c>
      <c r="G9" s="5">
        <v>117.1</v>
      </c>
      <c r="H9" s="5">
        <v>126.8</v>
      </c>
      <c r="I9" s="5">
        <v>125.7</v>
      </c>
      <c r="J9" s="5">
        <v>141.80000000000001</v>
      </c>
      <c r="K9" s="5">
        <v>130.9</v>
      </c>
      <c r="L9" s="5">
        <v>132.19999999999999</v>
      </c>
      <c r="M9" s="5">
        <v>139.69999999999999</v>
      </c>
      <c r="N9" s="5">
        <v>149</v>
      </c>
      <c r="O9" s="5">
        <v>156.19999999999999</v>
      </c>
      <c r="P9" s="5">
        <f t="shared" ref="P9:R9" si="19">L9*1.05</f>
        <v>138.81</v>
      </c>
      <c r="Q9" s="5">
        <f t="shared" si="19"/>
        <v>146.685</v>
      </c>
      <c r="R9" s="5">
        <f t="shared" si="19"/>
        <v>156.45000000000002</v>
      </c>
      <c r="T9" s="5">
        <v>147.5</v>
      </c>
      <c r="U9" s="5">
        <v>201.2</v>
      </c>
      <c r="V9" s="5">
        <v>276.10000000000002</v>
      </c>
      <c r="W9" s="5">
        <f>SUM(C9:F9)</f>
        <v>405.3</v>
      </c>
      <c r="X9" s="5">
        <f>SUM(G9:J9)</f>
        <v>511.4</v>
      </c>
      <c r="Y9" s="5">
        <f>SUM(K9:N9)</f>
        <v>551.79999999999995</v>
      </c>
      <c r="Z9" s="5">
        <f>SUM(O9:R9)</f>
        <v>598.14499999999998</v>
      </c>
      <c r="AA9" s="5">
        <f>Z9*1.03</f>
        <v>616.08934999999997</v>
      </c>
      <c r="AB9" s="5">
        <f>AA9*1.02</f>
        <v>628.41113699999994</v>
      </c>
      <c r="AC9" s="5">
        <f>AB9*1.02</f>
        <v>640.97935973999995</v>
      </c>
      <c r="AD9" s="5">
        <f>AC9*1.01</f>
        <v>647.38915333739999</v>
      </c>
      <c r="AE9" s="5">
        <f t="shared" ref="AE9:AJ9" si="20">AD9*1.01</f>
        <v>653.86304487077405</v>
      </c>
      <c r="AF9" s="5">
        <f t="shared" si="20"/>
        <v>660.4016753194818</v>
      </c>
      <c r="AG9" s="5">
        <f t="shared" si="20"/>
        <v>667.00569207267665</v>
      </c>
      <c r="AH9" s="5">
        <f t="shared" si="20"/>
        <v>673.67574899340343</v>
      </c>
      <c r="AI9" s="5">
        <f t="shared" si="20"/>
        <v>680.41250648333744</v>
      </c>
      <c r="AJ9" s="5">
        <f t="shared" si="20"/>
        <v>687.21663154817077</v>
      </c>
    </row>
    <row r="10" spans="2:36" x14ac:dyDescent="0.3">
      <c r="B10" t="s">
        <v>28</v>
      </c>
      <c r="C10" s="5">
        <v>138.1</v>
      </c>
      <c r="D10" s="5">
        <v>143.9</v>
      </c>
      <c r="E10" s="5">
        <v>162.1</v>
      </c>
      <c r="F10" s="5">
        <v>173.7</v>
      </c>
      <c r="G10" s="5">
        <v>175.2</v>
      </c>
      <c r="H10" s="5">
        <v>182.8</v>
      </c>
      <c r="I10" s="5">
        <v>186.7</v>
      </c>
      <c r="J10" s="5">
        <v>174.7</v>
      </c>
      <c r="K10" s="5">
        <v>167.4</v>
      </c>
      <c r="L10" s="5">
        <v>184.8</v>
      </c>
      <c r="M10" s="5">
        <v>214.9</v>
      </c>
      <c r="N10" s="5">
        <v>229.3</v>
      </c>
      <c r="O10" s="5">
        <v>238.2</v>
      </c>
      <c r="P10" s="5">
        <f>P7*0.24</f>
        <v>253.14959999999999</v>
      </c>
      <c r="Q10" s="5">
        <f>Q7*0.22</f>
        <v>241.47112000000001</v>
      </c>
      <c r="R10" s="5">
        <f>R7*0.22</f>
        <v>248.45237999999998</v>
      </c>
      <c r="T10" s="5">
        <v>266.2</v>
      </c>
      <c r="U10" s="5">
        <v>276.60000000000002</v>
      </c>
      <c r="V10" s="5">
        <v>426.9</v>
      </c>
      <c r="W10" s="5">
        <f>SUM(C10:F10)</f>
        <v>617.79999999999995</v>
      </c>
      <c r="X10" s="5">
        <f>SUM(G10:J10)</f>
        <v>719.40000000000009</v>
      </c>
      <c r="Y10" s="5">
        <f>SUM(K10:N10)</f>
        <v>796.40000000000009</v>
      </c>
      <c r="Z10" s="5">
        <f>SUM(O10:R10)</f>
        <v>981.2731</v>
      </c>
      <c r="AA10" s="5">
        <f>AA7*0.21</f>
        <v>988.50808350000011</v>
      </c>
      <c r="AB10" s="5">
        <f>AB7*0.2</f>
        <v>1000.4141600400003</v>
      </c>
      <c r="AC10" s="5">
        <f>AC7*0.2</f>
        <v>1043.0968602504004</v>
      </c>
      <c r="AD10" s="5">
        <f t="shared" ref="AD10:AJ10" si="21">AD7*0.2</f>
        <v>1077.1892065571524</v>
      </c>
      <c r="AE10" s="5">
        <f t="shared" si="21"/>
        <v>1101.644408807505</v>
      </c>
      <c r="AF10" s="5">
        <f t="shared" si="21"/>
        <v>1115.6596135583659</v>
      </c>
      <c r="AG10" s="5">
        <f t="shared" si="21"/>
        <v>1129.8749455699913</v>
      </c>
      <c r="AH10" s="5">
        <f t="shared" si="21"/>
        <v>1144.2936056192536</v>
      </c>
      <c r="AI10" s="5">
        <f t="shared" si="21"/>
        <v>1158.9188504808797</v>
      </c>
      <c r="AJ10" s="5">
        <f t="shared" si="21"/>
        <v>1173.7539939672311</v>
      </c>
    </row>
    <row r="11" spans="2:36" x14ac:dyDescent="0.3">
      <c r="B11" t="s">
        <v>29</v>
      </c>
      <c r="C11" s="5">
        <v>70.400000000000006</v>
      </c>
      <c r="D11" s="5">
        <v>79.099999999999994</v>
      </c>
      <c r="E11" s="5">
        <v>83.1</v>
      </c>
      <c r="F11" s="5">
        <v>80.599999999999994</v>
      </c>
      <c r="G11" s="5">
        <v>83.9</v>
      </c>
      <c r="H11" s="5">
        <v>93.9</v>
      </c>
      <c r="I11" s="5">
        <v>98.3</v>
      </c>
      <c r="J11" s="5">
        <v>103.9</v>
      </c>
      <c r="K11" s="5">
        <v>100.1</v>
      </c>
      <c r="L11" s="5">
        <v>109.7</v>
      </c>
      <c r="M11" s="5">
        <v>123.7</v>
      </c>
      <c r="N11" s="5">
        <v>128.19999999999999</v>
      </c>
      <c r="O11" s="5">
        <v>135.5</v>
      </c>
      <c r="P11" s="5">
        <f t="shared" ref="P11:R11" si="22">P7*0.13</f>
        <v>137.12270000000001</v>
      </c>
      <c r="Q11" s="5">
        <f t="shared" si="22"/>
        <v>142.68747999999999</v>
      </c>
      <c r="R11" s="5">
        <f t="shared" si="22"/>
        <v>146.81277</v>
      </c>
      <c r="T11" s="5">
        <v>116.3</v>
      </c>
      <c r="U11" s="5">
        <v>178.9</v>
      </c>
      <c r="V11" s="5">
        <v>257</v>
      </c>
      <c r="W11" s="5">
        <f>SUM(C11:F11)</f>
        <v>313.2</v>
      </c>
      <c r="X11" s="5">
        <f>SUM(G11:J11)</f>
        <v>380</v>
      </c>
      <c r="Y11" s="5">
        <f>SUM(K11:N11)</f>
        <v>461.7</v>
      </c>
      <c r="Z11" s="5">
        <f>SUM(O11:R11)</f>
        <v>562.12294999999995</v>
      </c>
      <c r="AA11" s="5">
        <f>AA7*0.12</f>
        <v>564.86176200000011</v>
      </c>
      <c r="AB11" s="5">
        <f t="shared" ref="AB11:AJ11" si="23">AB7*0.12</f>
        <v>600.24849602400013</v>
      </c>
      <c r="AC11" s="5">
        <f t="shared" si="23"/>
        <v>625.85811615024011</v>
      </c>
      <c r="AD11" s="5">
        <f t="shared" si="23"/>
        <v>646.31352393429131</v>
      </c>
      <c r="AE11" s="5">
        <f t="shared" si="23"/>
        <v>660.98664528450297</v>
      </c>
      <c r="AF11" s="5">
        <f t="shared" si="23"/>
        <v>669.39576813501947</v>
      </c>
      <c r="AG11" s="5">
        <f t="shared" si="23"/>
        <v>677.92496734199472</v>
      </c>
      <c r="AH11" s="5">
        <f t="shared" si="23"/>
        <v>686.57616337155207</v>
      </c>
      <c r="AI11" s="5">
        <f t="shared" si="23"/>
        <v>695.35131028852777</v>
      </c>
      <c r="AJ11" s="5">
        <f t="shared" si="23"/>
        <v>704.2523963803385</v>
      </c>
    </row>
    <row r="12" spans="2:36" x14ac:dyDescent="0.3">
      <c r="B12" t="s">
        <v>30</v>
      </c>
      <c r="C12" s="5">
        <v>136.5</v>
      </c>
      <c r="D12" s="5">
        <v>125.8</v>
      </c>
      <c r="E12" s="5">
        <v>126.2</v>
      </c>
      <c r="F12" s="5">
        <v>113.1</v>
      </c>
      <c r="G12" s="5">
        <v>123.7</v>
      </c>
      <c r="H12" s="5">
        <v>131.19999999999999</v>
      </c>
      <c r="I12" s="5">
        <v>124.5</v>
      </c>
      <c r="J12" s="5">
        <v>131.69999999999999</v>
      </c>
      <c r="K12" s="5">
        <v>145.19999999999999</v>
      </c>
      <c r="L12" s="5">
        <v>145</v>
      </c>
      <c r="M12" s="5">
        <v>148.9</v>
      </c>
      <c r="N12" s="5">
        <v>160.9</v>
      </c>
      <c r="O12" s="5">
        <v>156.4</v>
      </c>
      <c r="P12" s="5">
        <f>L12*1.1</f>
        <v>159.5</v>
      </c>
      <c r="Q12" s="5">
        <f>M12*1.1</f>
        <v>163.79000000000002</v>
      </c>
      <c r="R12" s="5">
        <f t="shared" ref="R12" si="24">N12*1.08</f>
        <v>173.77200000000002</v>
      </c>
      <c r="T12" s="5">
        <v>152.30000000000001</v>
      </c>
      <c r="U12" s="5">
        <v>237.4</v>
      </c>
      <c r="V12" s="5">
        <v>498.5</v>
      </c>
      <c r="W12" s="5">
        <f>SUM(C12:F12)</f>
        <v>501.6</v>
      </c>
      <c r="X12" s="5">
        <f>SUM(G12:J12)</f>
        <v>511.09999999999997</v>
      </c>
      <c r="Y12" s="5">
        <f>SUM(K12:N12)</f>
        <v>600</v>
      </c>
      <c r="Z12" s="5">
        <f>SUM(O12:R12)</f>
        <v>653.46199999999999</v>
      </c>
      <c r="AA12" s="5">
        <f>Z12*1.09</f>
        <v>712.27358000000004</v>
      </c>
      <c r="AB12" s="5">
        <f>AA12*1.05</f>
        <v>747.88725900000009</v>
      </c>
      <c r="AC12" s="5">
        <f>AB12*1.03</f>
        <v>770.32387677000008</v>
      </c>
      <c r="AD12" s="5">
        <f>AC12*1.02</f>
        <v>785.73035430540006</v>
      </c>
      <c r="AE12" s="5">
        <f t="shared" ref="AE12" si="25">AD12*1.02</f>
        <v>801.44496139150806</v>
      </c>
      <c r="AF12" s="5">
        <f>AE12*1.01</f>
        <v>809.45941100542314</v>
      </c>
      <c r="AG12" s="5">
        <f t="shared" ref="AG12:AJ12" si="26">AF12*1.01</f>
        <v>817.55400511547737</v>
      </c>
      <c r="AH12" s="5">
        <f t="shared" si="26"/>
        <v>825.72954516663219</v>
      </c>
      <c r="AI12" s="5">
        <f t="shared" si="26"/>
        <v>833.98684061829852</v>
      </c>
      <c r="AJ12" s="5">
        <f t="shared" si="26"/>
        <v>842.32670902448149</v>
      </c>
    </row>
    <row r="13" spans="2:36" x14ac:dyDescent="0.3">
      <c r="B13" t="s">
        <v>31</v>
      </c>
      <c r="C13" s="5">
        <v>13</v>
      </c>
      <c r="D13" s="5">
        <v>10.1</v>
      </c>
      <c r="E13" s="5">
        <v>16.3</v>
      </c>
      <c r="F13" s="5">
        <v>14.9</v>
      </c>
      <c r="G13" s="5">
        <v>8.4</v>
      </c>
      <c r="H13" s="5">
        <v>12.6</v>
      </c>
      <c r="I13" s="5">
        <f>247.2+21.8</f>
        <v>269</v>
      </c>
      <c r="J13" s="5">
        <v>12.1</v>
      </c>
      <c r="K13" s="5">
        <v>7.2</v>
      </c>
      <c r="L13" s="5">
        <v>11.6</v>
      </c>
      <c r="M13" s="5">
        <v>6</v>
      </c>
      <c r="N13" s="5">
        <v>6.9</v>
      </c>
      <c r="O13" s="5">
        <v>5.7</v>
      </c>
      <c r="P13" s="5">
        <v>8</v>
      </c>
      <c r="Q13" s="5">
        <v>8</v>
      </c>
      <c r="R13" s="5">
        <v>8</v>
      </c>
      <c r="T13" s="5">
        <v>0</v>
      </c>
      <c r="U13" s="5">
        <v>0</v>
      </c>
      <c r="V13" s="5">
        <v>7.6</v>
      </c>
      <c r="W13" s="5">
        <f>SUM(C13:F13)</f>
        <v>54.300000000000004</v>
      </c>
      <c r="X13" s="5">
        <f>SUM(G13:J13)</f>
        <v>302.10000000000002</v>
      </c>
      <c r="Y13" s="5">
        <f>SUM(K13:N13)</f>
        <v>31.700000000000003</v>
      </c>
      <c r="Z13" s="5">
        <f>SUM(O13:R13)</f>
        <v>29.7</v>
      </c>
      <c r="AA13" s="5">
        <v>50</v>
      </c>
      <c r="AB13" s="5">
        <v>50</v>
      </c>
      <c r="AC13" s="5">
        <v>50</v>
      </c>
      <c r="AD13" s="5">
        <v>50</v>
      </c>
      <c r="AE13" s="5">
        <v>50</v>
      </c>
      <c r="AF13" s="5">
        <v>50</v>
      </c>
      <c r="AG13" s="5">
        <v>50</v>
      </c>
      <c r="AH13" s="5">
        <v>50</v>
      </c>
      <c r="AI13" s="5">
        <v>50</v>
      </c>
      <c r="AJ13" s="5">
        <v>50</v>
      </c>
    </row>
    <row r="14" spans="2:36" x14ac:dyDescent="0.3">
      <c r="B14" t="s">
        <v>32</v>
      </c>
      <c r="C14" s="5">
        <f t="shared" ref="C14:L14" si="27">SUM(C9:C13)</f>
        <v>439.9</v>
      </c>
      <c r="D14" s="5">
        <f t="shared" si="27"/>
        <v>458.3</v>
      </c>
      <c r="E14" s="5">
        <f t="shared" si="27"/>
        <v>498.4</v>
      </c>
      <c r="F14" s="5">
        <f t="shared" si="27"/>
        <v>495.6</v>
      </c>
      <c r="G14" s="5">
        <f t="shared" si="27"/>
        <v>508.2999999999999</v>
      </c>
      <c r="H14" s="5">
        <f t="shared" si="27"/>
        <v>547.30000000000007</v>
      </c>
      <c r="I14" s="5">
        <f t="shared" si="27"/>
        <v>804.2</v>
      </c>
      <c r="J14" s="5">
        <f t="shared" si="27"/>
        <v>564.19999999999993</v>
      </c>
      <c r="K14" s="5">
        <f t="shared" si="27"/>
        <v>550.79999999999995</v>
      </c>
      <c r="L14" s="5">
        <f t="shared" si="27"/>
        <v>583.30000000000007</v>
      </c>
      <c r="M14" s="5">
        <f t="shared" ref="M14:N14" si="28">SUM(M9:M13)</f>
        <v>633.20000000000005</v>
      </c>
      <c r="N14" s="5">
        <f t="shared" si="28"/>
        <v>674.3</v>
      </c>
      <c r="O14" s="5">
        <f t="shared" ref="O14:R14" si="29">SUM(O9:O13)</f>
        <v>692</v>
      </c>
      <c r="P14" s="5">
        <f t="shared" si="29"/>
        <v>696.58230000000003</v>
      </c>
      <c r="Q14" s="5">
        <f t="shared" si="29"/>
        <v>702.63359999999989</v>
      </c>
      <c r="R14" s="5">
        <f t="shared" si="29"/>
        <v>733.48715000000004</v>
      </c>
      <c r="T14" s="5">
        <f t="shared" ref="T14:Y14" si="30">SUM(T9:T13)</f>
        <v>682.3</v>
      </c>
      <c r="U14" s="5">
        <f t="shared" si="30"/>
        <v>894.1</v>
      </c>
      <c r="V14" s="5">
        <f t="shared" si="30"/>
        <v>1466.1</v>
      </c>
      <c r="W14" s="5">
        <f t="shared" si="30"/>
        <v>1892.2</v>
      </c>
      <c r="X14" s="5">
        <f t="shared" si="30"/>
        <v>2424</v>
      </c>
      <c r="Y14" s="5">
        <f t="shared" si="30"/>
        <v>2441.6</v>
      </c>
      <c r="Z14" s="5">
        <f t="shared" ref="Z14:AJ14" si="31">SUM(Z9:Z13)</f>
        <v>2824.7030499999996</v>
      </c>
      <c r="AA14" s="5">
        <f t="shared" si="31"/>
        <v>2931.7327755000001</v>
      </c>
      <c r="AB14" s="5">
        <f t="shared" si="31"/>
        <v>3026.9610520640008</v>
      </c>
      <c r="AC14" s="5">
        <f t="shared" si="31"/>
        <v>3130.2582129106404</v>
      </c>
      <c r="AD14" s="5">
        <f t="shared" si="31"/>
        <v>3206.6222381342436</v>
      </c>
      <c r="AE14" s="5">
        <f t="shared" si="31"/>
        <v>3267.9390603542902</v>
      </c>
      <c r="AF14" s="5">
        <f t="shared" si="31"/>
        <v>3304.9164680182903</v>
      </c>
      <c r="AG14" s="5">
        <f t="shared" si="31"/>
        <v>3342.3596101001403</v>
      </c>
      <c r="AH14" s="5">
        <f t="shared" si="31"/>
        <v>3380.2750631508416</v>
      </c>
      <c r="AI14" s="5">
        <f t="shared" si="31"/>
        <v>3418.6695078710436</v>
      </c>
      <c r="AJ14" s="5">
        <f t="shared" si="31"/>
        <v>3457.5497309202219</v>
      </c>
    </row>
    <row r="15" spans="2:36" s="1" customFormat="1" x14ac:dyDescent="0.3">
      <c r="B15" s="1" t="s">
        <v>33</v>
      </c>
      <c r="C15" s="8">
        <f t="shared" ref="C15:L15" si="32">C8-C14</f>
        <v>-109.59999999999997</v>
      </c>
      <c r="D15" s="8">
        <f t="shared" si="32"/>
        <v>-95.900000000000034</v>
      </c>
      <c r="E15" s="8">
        <f t="shared" si="32"/>
        <v>-74.499999999999943</v>
      </c>
      <c r="F15" s="8">
        <f t="shared" si="32"/>
        <v>-38.900000000000091</v>
      </c>
      <c r="G15" s="8">
        <f t="shared" si="32"/>
        <v>-36.199999999999875</v>
      </c>
      <c r="H15" s="8">
        <f t="shared" si="32"/>
        <v>-49.300000000000068</v>
      </c>
      <c r="I15" s="8">
        <f t="shared" si="32"/>
        <v>-267.00000000000011</v>
      </c>
      <c r="J15" s="8">
        <f t="shared" si="32"/>
        <v>51.200000000000159</v>
      </c>
      <c r="K15" s="8">
        <f t="shared" si="32"/>
        <v>94.200000000000045</v>
      </c>
      <c r="L15" s="8">
        <f t="shared" si="32"/>
        <v>15.299999999999955</v>
      </c>
      <c r="M15" s="8">
        <f t="shared" ref="M15:N15" si="33">M8-M14</f>
        <v>63.899999999999977</v>
      </c>
      <c r="N15" s="8">
        <f t="shared" si="33"/>
        <v>59.799999999999955</v>
      </c>
      <c r="O15" s="8">
        <f t="shared" ref="O15:R15" si="34">O8-O14</f>
        <v>79.699999999999932</v>
      </c>
      <c r="P15" s="8">
        <f t="shared" si="34"/>
        <v>71.165399999999977</v>
      </c>
      <c r="Q15" s="8">
        <f t="shared" si="34"/>
        <v>95.185440000000199</v>
      </c>
      <c r="R15" s="8">
        <f t="shared" si="34"/>
        <v>90.322119999999927</v>
      </c>
      <c r="T15" s="8">
        <f t="shared" ref="T15:Y15" si="35">T8-T14</f>
        <v>-239.69999999999987</v>
      </c>
      <c r="U15" s="8">
        <f t="shared" si="35"/>
        <v>-328.6</v>
      </c>
      <c r="V15" s="8">
        <f t="shared" si="35"/>
        <v>-481.29999999999995</v>
      </c>
      <c r="W15" s="8">
        <f t="shared" si="35"/>
        <v>-318.89999999999986</v>
      </c>
      <c r="X15" s="8">
        <f t="shared" si="35"/>
        <v>-301.29999999999973</v>
      </c>
      <c r="Y15" s="8">
        <f t="shared" si="35"/>
        <v>233.20000000000027</v>
      </c>
      <c r="Z15" s="8">
        <f t="shared" ref="Z15:AJ15" si="36">Z8-Z14</f>
        <v>336.3729600000006</v>
      </c>
      <c r="AA15" s="8">
        <f t="shared" si="36"/>
        <v>494.75853540000026</v>
      </c>
      <c r="AB15" s="8">
        <f t="shared" si="36"/>
        <v>617.57830668999941</v>
      </c>
      <c r="AC15" s="8">
        <f t="shared" si="36"/>
        <v>673.39338923752075</v>
      </c>
      <c r="AD15" s="8">
        <f t="shared" si="36"/>
        <v>725.13611457456227</v>
      </c>
      <c r="AE15" s="8">
        <f t="shared" si="36"/>
        <v>757.01155000474</v>
      </c>
      <c r="AF15" s="8">
        <f t="shared" si="36"/>
        <v>775.27745175825976</v>
      </c>
      <c r="AG15" s="8">
        <f t="shared" si="36"/>
        <v>793.92992825438341</v>
      </c>
      <c r="AH15" s="8">
        <f t="shared" si="36"/>
        <v>812.97692355503932</v>
      </c>
      <c r="AI15" s="8">
        <f t="shared" si="36"/>
        <v>832.42654272906475</v>
      </c>
      <c r="AJ15" s="8">
        <f t="shared" si="36"/>
        <v>852.28705509359952</v>
      </c>
    </row>
    <row r="16" spans="2:36" x14ac:dyDescent="0.3">
      <c r="B16" t="s">
        <v>34</v>
      </c>
      <c r="C16" s="5">
        <v>0.8</v>
      </c>
      <c r="D16" s="5">
        <v>0.1</v>
      </c>
      <c r="E16" s="5">
        <v>-0.2</v>
      </c>
      <c r="F16" s="5">
        <v>3.2</v>
      </c>
      <c r="G16" s="5">
        <v>-1.6</v>
      </c>
      <c r="H16" s="5">
        <v>-1.8</v>
      </c>
      <c r="I16" s="5">
        <v>-0.2</v>
      </c>
      <c r="J16" s="5">
        <v>3.2</v>
      </c>
      <c r="K16" s="5">
        <v>6.2</v>
      </c>
      <c r="L16" s="5">
        <v>-2.1</v>
      </c>
      <c r="M16" s="5">
        <v>3.1</v>
      </c>
      <c r="N16" s="5">
        <v>-272.5</v>
      </c>
      <c r="O16" s="5">
        <v>8.6999999999999993</v>
      </c>
      <c r="P16" s="5">
        <f>P15*0.12</f>
        <v>8.5398479999999974</v>
      </c>
      <c r="Q16" s="5">
        <f t="shared" ref="Q16:R16" si="37">Q15*0.12</f>
        <v>11.422252800000024</v>
      </c>
      <c r="R16" s="5">
        <f t="shared" si="37"/>
        <v>10.83865439999999</v>
      </c>
      <c r="T16" s="5">
        <v>-0.1</v>
      </c>
      <c r="U16" s="5">
        <v>-104.5</v>
      </c>
      <c r="V16" s="5">
        <v>2.8</v>
      </c>
      <c r="W16" s="5">
        <f>SUM(C16:F16)</f>
        <v>3.9000000000000004</v>
      </c>
      <c r="X16" s="5">
        <f>SUM(G16:J16)</f>
        <v>-0.40000000000000036</v>
      </c>
      <c r="Y16" s="5">
        <f>SUM(K16:N16)</f>
        <v>-265.3</v>
      </c>
      <c r="Z16" s="5">
        <f>SUM(O16:R16)</f>
        <v>39.500755200000008</v>
      </c>
      <c r="AA16" s="5">
        <f>AA15*0.15</f>
        <v>74.213780310000033</v>
      </c>
      <c r="AB16" s="5">
        <f t="shared" ref="AB16:AJ16" si="38">AB15*0.15</f>
        <v>92.636746003499908</v>
      </c>
      <c r="AC16" s="5">
        <f t="shared" si="38"/>
        <v>101.00900838562811</v>
      </c>
      <c r="AD16" s="5">
        <f t="shared" si="38"/>
        <v>108.77041718618433</v>
      </c>
      <c r="AE16" s="5">
        <f t="shared" si="38"/>
        <v>113.551732500711</v>
      </c>
      <c r="AF16" s="5">
        <f t="shared" si="38"/>
        <v>116.29161776373896</v>
      </c>
      <c r="AG16" s="5">
        <f t="shared" si="38"/>
        <v>119.08948923815751</v>
      </c>
      <c r="AH16" s="5">
        <f t="shared" si="38"/>
        <v>121.94653853325589</v>
      </c>
      <c r="AI16" s="5">
        <f t="shared" si="38"/>
        <v>124.86398140935971</v>
      </c>
      <c r="AJ16" s="5">
        <f t="shared" si="38"/>
        <v>127.84305826403993</v>
      </c>
    </row>
    <row r="17" spans="2:152" s="1" customFormat="1" x14ac:dyDescent="0.3">
      <c r="B17" s="1" t="s">
        <v>35</v>
      </c>
      <c r="C17" s="8">
        <f t="shared" ref="C17:L17" si="39">C15-C16</f>
        <v>-110.39999999999996</v>
      </c>
      <c r="D17" s="8">
        <f t="shared" si="39"/>
        <v>-96.000000000000028</v>
      </c>
      <c r="E17" s="8">
        <f t="shared" si="39"/>
        <v>-74.29999999999994</v>
      </c>
      <c r="F17" s="8">
        <f t="shared" si="39"/>
        <v>-42.100000000000094</v>
      </c>
      <c r="G17" s="8">
        <f t="shared" si="39"/>
        <v>-34.599999999999874</v>
      </c>
      <c r="H17" s="8">
        <f t="shared" si="39"/>
        <v>-47.500000000000071</v>
      </c>
      <c r="I17" s="8">
        <f t="shared" si="39"/>
        <v>-266.80000000000013</v>
      </c>
      <c r="J17" s="8">
        <f t="shared" si="39"/>
        <v>48.000000000000156</v>
      </c>
      <c r="K17" s="8">
        <f t="shared" si="39"/>
        <v>88.000000000000043</v>
      </c>
      <c r="L17" s="8">
        <f t="shared" si="39"/>
        <v>17.399999999999956</v>
      </c>
      <c r="M17" s="8">
        <f t="shared" ref="M17:N17" si="40">M15-M16</f>
        <v>60.799999999999976</v>
      </c>
      <c r="N17" s="8">
        <f t="shared" si="40"/>
        <v>332.29999999999995</v>
      </c>
      <c r="O17" s="8">
        <f t="shared" ref="O17:R17" si="41">O15-O16</f>
        <v>70.999999999999929</v>
      </c>
      <c r="P17" s="8">
        <f t="shared" si="41"/>
        <v>62.625551999999978</v>
      </c>
      <c r="Q17" s="8">
        <f t="shared" si="41"/>
        <v>83.763187200000175</v>
      </c>
      <c r="R17" s="8">
        <f t="shared" si="41"/>
        <v>79.483465599999931</v>
      </c>
      <c r="T17" s="8">
        <f t="shared" ref="T17:Y17" si="42">T15-T16</f>
        <v>-239.59999999999988</v>
      </c>
      <c r="U17" s="8">
        <f t="shared" si="42"/>
        <v>-224.10000000000002</v>
      </c>
      <c r="V17" s="8">
        <f t="shared" si="42"/>
        <v>-484.09999999999997</v>
      </c>
      <c r="W17" s="8">
        <f t="shared" si="42"/>
        <v>-322.79999999999984</v>
      </c>
      <c r="X17" s="8">
        <f t="shared" si="42"/>
        <v>-300.89999999999975</v>
      </c>
      <c r="Y17" s="8">
        <f t="shared" si="42"/>
        <v>498.50000000000028</v>
      </c>
      <c r="Z17" s="8">
        <f t="shared" ref="Z17:AJ17" si="43">Z15-Z16</f>
        <v>296.87220480000059</v>
      </c>
      <c r="AA17" s="8">
        <f t="shared" si="43"/>
        <v>420.54475509000019</v>
      </c>
      <c r="AB17" s="8">
        <f t="shared" si="43"/>
        <v>524.94156068649954</v>
      </c>
      <c r="AC17" s="8">
        <f t="shared" si="43"/>
        <v>572.38438085189262</v>
      </c>
      <c r="AD17" s="8">
        <f t="shared" si="43"/>
        <v>616.36569738837795</v>
      </c>
      <c r="AE17" s="8">
        <f t="shared" si="43"/>
        <v>643.45981750402905</v>
      </c>
      <c r="AF17" s="8">
        <f t="shared" si="43"/>
        <v>658.98583399452082</v>
      </c>
      <c r="AG17" s="8">
        <f t="shared" si="43"/>
        <v>674.8404390162259</v>
      </c>
      <c r="AH17" s="8">
        <f t="shared" si="43"/>
        <v>691.03038502178345</v>
      </c>
      <c r="AI17" s="8">
        <f t="shared" si="43"/>
        <v>707.56256131970508</v>
      </c>
      <c r="AJ17" s="8">
        <f t="shared" si="43"/>
        <v>724.44399682955964</v>
      </c>
      <c r="AK17" s="1">
        <f>AJ17*(1+$AN$22)</f>
        <v>717.199556861264</v>
      </c>
      <c r="AL17" s="1">
        <f t="shared" ref="AL17:CW17" si="44">AK17*(1+$AN$22)</f>
        <v>710.0275612926514</v>
      </c>
      <c r="AM17" s="1">
        <f t="shared" si="44"/>
        <v>702.92728567972483</v>
      </c>
      <c r="AN17" s="1">
        <f t="shared" si="44"/>
        <v>695.89801282292763</v>
      </c>
      <c r="AO17" s="1">
        <f t="shared" si="44"/>
        <v>688.93903269469831</v>
      </c>
      <c r="AP17" s="1">
        <f t="shared" si="44"/>
        <v>682.04964236775129</v>
      </c>
      <c r="AQ17" s="1">
        <f t="shared" si="44"/>
        <v>675.22914594407382</v>
      </c>
      <c r="AR17" s="1">
        <f t="shared" si="44"/>
        <v>668.47685448463312</v>
      </c>
      <c r="AS17" s="1">
        <f t="shared" si="44"/>
        <v>661.79208593978683</v>
      </c>
      <c r="AT17" s="1">
        <f t="shared" si="44"/>
        <v>655.174165080389</v>
      </c>
      <c r="AU17" s="1">
        <f t="shared" si="44"/>
        <v>648.62242342958507</v>
      </c>
      <c r="AV17" s="1">
        <f t="shared" si="44"/>
        <v>642.13619919528924</v>
      </c>
      <c r="AW17" s="1">
        <f t="shared" si="44"/>
        <v>635.71483720333629</v>
      </c>
      <c r="AX17" s="1">
        <f t="shared" si="44"/>
        <v>629.35768883130288</v>
      </c>
      <c r="AY17" s="1">
        <f t="shared" si="44"/>
        <v>623.06411194298983</v>
      </c>
      <c r="AZ17" s="1">
        <f t="shared" si="44"/>
        <v>616.83347082355988</v>
      </c>
      <c r="BA17" s="1">
        <f t="shared" si="44"/>
        <v>610.66513611532423</v>
      </c>
      <c r="BB17" s="1">
        <f t="shared" si="44"/>
        <v>604.55848475417099</v>
      </c>
      <c r="BC17" s="1">
        <f t="shared" si="44"/>
        <v>598.51289990662929</v>
      </c>
      <c r="BD17" s="1">
        <f t="shared" si="44"/>
        <v>592.52777090756297</v>
      </c>
      <c r="BE17" s="1">
        <f t="shared" si="44"/>
        <v>586.60249319848731</v>
      </c>
      <c r="BF17" s="1">
        <f t="shared" si="44"/>
        <v>580.73646826650247</v>
      </c>
      <c r="BG17" s="1">
        <f t="shared" si="44"/>
        <v>574.92910358383745</v>
      </c>
      <c r="BH17" s="1">
        <f t="shared" si="44"/>
        <v>569.17981254799906</v>
      </c>
      <c r="BI17" s="1">
        <f t="shared" si="44"/>
        <v>563.48801442251909</v>
      </c>
      <c r="BJ17" s="1">
        <f t="shared" si="44"/>
        <v>557.85313427829385</v>
      </c>
      <c r="BK17" s="1">
        <f t="shared" si="44"/>
        <v>552.27460293551087</v>
      </c>
      <c r="BL17" s="1">
        <f t="shared" si="44"/>
        <v>546.75185690615581</v>
      </c>
      <c r="BM17" s="1">
        <f t="shared" si="44"/>
        <v>541.28433833709425</v>
      </c>
      <c r="BN17" s="1">
        <f t="shared" si="44"/>
        <v>535.8714949537233</v>
      </c>
      <c r="BO17" s="1">
        <f t="shared" si="44"/>
        <v>530.51278000418608</v>
      </c>
      <c r="BP17" s="1">
        <f t="shared" si="44"/>
        <v>525.20765220414421</v>
      </c>
      <c r="BQ17" s="1">
        <f t="shared" si="44"/>
        <v>519.95557568210279</v>
      </c>
      <c r="BR17" s="1">
        <f t="shared" si="44"/>
        <v>514.75601992528175</v>
      </c>
      <c r="BS17" s="1">
        <f t="shared" si="44"/>
        <v>509.60845972602891</v>
      </c>
      <c r="BT17" s="1">
        <f t="shared" si="44"/>
        <v>504.51237512876861</v>
      </c>
      <c r="BU17" s="1">
        <f t="shared" si="44"/>
        <v>499.46725137748092</v>
      </c>
      <c r="BV17" s="1">
        <f t="shared" si="44"/>
        <v>494.47257886370613</v>
      </c>
      <c r="BW17" s="1">
        <f t="shared" si="44"/>
        <v>489.52785307506906</v>
      </c>
      <c r="BX17" s="1">
        <f t="shared" si="44"/>
        <v>484.63257454431835</v>
      </c>
      <c r="BY17" s="1">
        <f t="shared" si="44"/>
        <v>479.78624879887514</v>
      </c>
      <c r="BZ17" s="1">
        <f t="shared" si="44"/>
        <v>474.98838631088637</v>
      </c>
      <c r="CA17" s="1">
        <f t="shared" si="44"/>
        <v>470.23850244777748</v>
      </c>
      <c r="CB17" s="1">
        <f t="shared" si="44"/>
        <v>465.53611742329969</v>
      </c>
      <c r="CC17" s="1">
        <f t="shared" si="44"/>
        <v>460.88075624906668</v>
      </c>
      <c r="CD17" s="1">
        <f t="shared" si="44"/>
        <v>456.27194868657602</v>
      </c>
      <c r="CE17" s="1">
        <f t="shared" si="44"/>
        <v>451.70922919971025</v>
      </c>
      <c r="CF17" s="1">
        <f t="shared" si="44"/>
        <v>447.19213690771312</v>
      </c>
      <c r="CG17" s="1">
        <f t="shared" si="44"/>
        <v>442.72021553863601</v>
      </c>
      <c r="CH17" s="1">
        <f t="shared" si="44"/>
        <v>438.29301338324967</v>
      </c>
      <c r="CI17" s="1">
        <f t="shared" si="44"/>
        <v>433.9100832494172</v>
      </c>
      <c r="CJ17" s="1">
        <f t="shared" si="44"/>
        <v>429.57098241692302</v>
      </c>
      <c r="CK17" s="1">
        <f t="shared" si="44"/>
        <v>425.27527259275377</v>
      </c>
      <c r="CL17" s="1">
        <f t="shared" si="44"/>
        <v>421.0225198668262</v>
      </c>
      <c r="CM17" s="1">
        <f t="shared" si="44"/>
        <v>416.81229466815796</v>
      </c>
      <c r="CN17" s="1">
        <f t="shared" si="44"/>
        <v>412.64417172147637</v>
      </c>
      <c r="CO17" s="1">
        <f t="shared" si="44"/>
        <v>408.51773000426158</v>
      </c>
      <c r="CP17" s="1">
        <f t="shared" si="44"/>
        <v>404.43255270421895</v>
      </c>
      <c r="CQ17" s="1">
        <f t="shared" si="44"/>
        <v>400.38822717717676</v>
      </c>
      <c r="CR17" s="1">
        <f t="shared" si="44"/>
        <v>396.38434490540499</v>
      </c>
      <c r="CS17" s="1">
        <f t="shared" si="44"/>
        <v>392.42050145635091</v>
      </c>
      <c r="CT17" s="1">
        <f t="shared" si="44"/>
        <v>388.49629644178736</v>
      </c>
      <c r="CU17" s="1">
        <f t="shared" si="44"/>
        <v>384.6113334773695</v>
      </c>
      <c r="CV17" s="1">
        <f t="shared" si="44"/>
        <v>380.76522014259581</v>
      </c>
      <c r="CW17" s="1">
        <f t="shared" si="44"/>
        <v>376.95756794116983</v>
      </c>
      <c r="CX17" s="1">
        <f t="shared" ref="CX17:EV17" si="45">CW17*(1+$AN$22)</f>
        <v>373.18799226175815</v>
      </c>
      <c r="CY17" s="1">
        <f t="shared" si="45"/>
        <v>369.45611233914059</v>
      </c>
      <c r="CZ17" s="1">
        <f t="shared" si="45"/>
        <v>365.76155121574919</v>
      </c>
      <c r="DA17" s="1">
        <f t="shared" si="45"/>
        <v>362.10393570359167</v>
      </c>
      <c r="DB17" s="1">
        <f t="shared" si="45"/>
        <v>358.48289634655578</v>
      </c>
      <c r="DC17" s="1">
        <f t="shared" si="45"/>
        <v>354.89806738309022</v>
      </c>
      <c r="DD17" s="1">
        <f t="shared" si="45"/>
        <v>351.34908670925932</v>
      </c>
      <c r="DE17" s="1">
        <f t="shared" si="45"/>
        <v>347.83559584216675</v>
      </c>
      <c r="DF17" s="1">
        <f t="shared" si="45"/>
        <v>344.35723988374508</v>
      </c>
      <c r="DG17" s="1">
        <f t="shared" si="45"/>
        <v>340.91366748490765</v>
      </c>
      <c r="DH17" s="1">
        <f t="shared" si="45"/>
        <v>337.50453081005855</v>
      </c>
      <c r="DI17" s="1">
        <f t="shared" si="45"/>
        <v>334.12948550195796</v>
      </c>
      <c r="DJ17" s="1">
        <f t="shared" si="45"/>
        <v>330.7881906469384</v>
      </c>
      <c r="DK17" s="1">
        <f t="shared" si="45"/>
        <v>327.48030874046901</v>
      </c>
      <c r="DL17" s="1">
        <f t="shared" si="45"/>
        <v>324.20550565306434</v>
      </c>
      <c r="DM17" s="1">
        <f t="shared" si="45"/>
        <v>320.96345059653368</v>
      </c>
      <c r="DN17" s="1">
        <f t="shared" si="45"/>
        <v>317.75381609056836</v>
      </c>
      <c r="DO17" s="1">
        <f t="shared" si="45"/>
        <v>314.57627792966269</v>
      </c>
      <c r="DP17" s="1">
        <f t="shared" si="45"/>
        <v>311.43051515036609</v>
      </c>
      <c r="DQ17" s="1">
        <f t="shared" si="45"/>
        <v>308.3162099988624</v>
      </c>
      <c r="DR17" s="1">
        <f t="shared" si="45"/>
        <v>305.23304789887379</v>
      </c>
      <c r="DS17" s="1">
        <f t="shared" si="45"/>
        <v>302.18071741988507</v>
      </c>
      <c r="DT17" s="1">
        <f t="shared" si="45"/>
        <v>299.15891024568623</v>
      </c>
      <c r="DU17" s="1">
        <f t="shared" si="45"/>
        <v>296.16732114322934</v>
      </c>
      <c r="DV17" s="1">
        <f t="shared" si="45"/>
        <v>293.20564793179705</v>
      </c>
      <c r="DW17" s="1">
        <f t="shared" si="45"/>
        <v>290.27359145247908</v>
      </c>
      <c r="DX17" s="1">
        <f t="shared" si="45"/>
        <v>287.3708555379543</v>
      </c>
      <c r="DY17" s="1">
        <f t="shared" si="45"/>
        <v>284.49714698257475</v>
      </c>
      <c r="DZ17" s="1">
        <f t="shared" si="45"/>
        <v>281.65217551274901</v>
      </c>
      <c r="EA17" s="1">
        <f t="shared" si="45"/>
        <v>278.83565375762151</v>
      </c>
      <c r="EB17" s="1">
        <f t="shared" si="45"/>
        <v>276.04729722004532</v>
      </c>
      <c r="EC17" s="1">
        <f t="shared" si="45"/>
        <v>273.28682424784489</v>
      </c>
      <c r="ED17" s="1">
        <f t="shared" si="45"/>
        <v>270.55395600536644</v>
      </c>
      <c r="EE17" s="1">
        <f t="shared" si="45"/>
        <v>267.84841644531275</v>
      </c>
      <c r="EF17" s="1">
        <f t="shared" si="45"/>
        <v>265.1699322808596</v>
      </c>
      <c r="EG17" s="1">
        <f t="shared" si="45"/>
        <v>262.51823295805099</v>
      </c>
      <c r="EH17" s="1">
        <f t="shared" si="45"/>
        <v>259.89305062847046</v>
      </c>
      <c r="EI17" s="1">
        <f t="shared" si="45"/>
        <v>257.29412012218575</v>
      </c>
      <c r="EJ17" s="1">
        <f t="shared" si="45"/>
        <v>254.72117892096389</v>
      </c>
      <c r="EK17" s="1">
        <f t="shared" si="45"/>
        <v>252.17396713175424</v>
      </c>
      <c r="EL17" s="1">
        <f t="shared" si="45"/>
        <v>249.65222746043671</v>
      </c>
      <c r="EM17" s="1">
        <f t="shared" si="45"/>
        <v>247.15570518583235</v>
      </c>
      <c r="EN17" s="1">
        <f t="shared" si="45"/>
        <v>244.68414813397402</v>
      </c>
      <c r="EO17" s="1">
        <f t="shared" si="45"/>
        <v>242.23730665263429</v>
      </c>
      <c r="EP17" s="1">
        <f t="shared" si="45"/>
        <v>239.81493358610794</v>
      </c>
      <c r="EQ17" s="1">
        <f t="shared" si="45"/>
        <v>237.41678425024685</v>
      </c>
      <c r="ER17" s="1">
        <f t="shared" si="45"/>
        <v>235.04261640774439</v>
      </c>
      <c r="ES17" s="1">
        <f t="shared" si="45"/>
        <v>232.69219024366694</v>
      </c>
      <c r="ET17" s="1">
        <f t="shared" si="45"/>
        <v>230.36526834123026</v>
      </c>
      <c r="EU17" s="1">
        <f t="shared" si="45"/>
        <v>228.06161565781795</v>
      </c>
      <c r="EV17" s="1">
        <f t="shared" si="45"/>
        <v>225.78099950123976</v>
      </c>
    </row>
    <row r="18" spans="2:152" x14ac:dyDescent="0.3">
      <c r="B18" t="s">
        <v>1</v>
      </c>
      <c r="C18" s="5">
        <v>936.6</v>
      </c>
      <c r="D18" s="5">
        <v>936.6</v>
      </c>
      <c r="E18" s="5">
        <v>936.6</v>
      </c>
      <c r="F18" s="5">
        <v>936.6</v>
      </c>
      <c r="G18" s="5">
        <v>936.6</v>
      </c>
      <c r="H18" s="5">
        <v>936.6</v>
      </c>
      <c r="I18" s="5">
        <v>936.6</v>
      </c>
      <c r="J18" s="5">
        <v>936.6</v>
      </c>
      <c r="K18" s="5">
        <v>982.6</v>
      </c>
      <c r="L18" s="5">
        <v>1065.9000000000001</v>
      </c>
      <c r="M18" s="5">
        <v>1085.0999999999999</v>
      </c>
      <c r="N18" s="5">
        <v>1087.9000000000001</v>
      </c>
      <c r="O18" s="5">
        <v>1098</v>
      </c>
      <c r="P18" s="5">
        <v>1098</v>
      </c>
      <c r="Q18" s="5">
        <v>1098</v>
      </c>
      <c r="R18" s="5">
        <v>1098</v>
      </c>
      <c r="T18" s="5">
        <v>937</v>
      </c>
      <c r="U18" s="5">
        <v>937</v>
      </c>
      <c r="V18" s="5">
        <v>937</v>
      </c>
      <c r="W18" s="5">
        <v>937</v>
      </c>
      <c r="X18" s="5">
        <v>937</v>
      </c>
      <c r="Y18" s="5">
        <v>1087.9000000000001</v>
      </c>
      <c r="Z18" s="5">
        <v>1087.9000000000001</v>
      </c>
      <c r="AA18" s="5">
        <v>1087.9000000000001</v>
      </c>
      <c r="AB18" s="5">
        <v>1087.9000000000001</v>
      </c>
      <c r="AC18" s="5">
        <v>1087.9000000000001</v>
      </c>
      <c r="AD18" s="5">
        <v>1087.9000000000001</v>
      </c>
      <c r="AE18" s="5">
        <v>1087.9000000000001</v>
      </c>
      <c r="AF18" s="5">
        <v>1087.9000000000001</v>
      </c>
      <c r="AG18" s="5">
        <v>1087.9000000000001</v>
      </c>
      <c r="AH18" s="5">
        <v>1087.9000000000001</v>
      </c>
      <c r="AI18" s="5">
        <v>1087.9000000000001</v>
      </c>
      <c r="AJ18" s="5">
        <v>1087.9000000000001</v>
      </c>
    </row>
    <row r="19" spans="2:152" x14ac:dyDescent="0.3">
      <c r="B19" t="s">
        <v>36</v>
      </c>
      <c r="C19" s="7">
        <f t="shared" ref="C19:L19" si="46">C17/C18</f>
        <v>-0.11787315823190259</v>
      </c>
      <c r="D19" s="7">
        <f t="shared" si="46"/>
        <v>-0.10249839846252405</v>
      </c>
      <c r="E19" s="7">
        <f t="shared" si="46"/>
        <v>-7.9329489643390927E-2</v>
      </c>
      <c r="F19" s="7">
        <f t="shared" si="46"/>
        <v>-4.494981849241949E-2</v>
      </c>
      <c r="G19" s="7">
        <f t="shared" si="46"/>
        <v>-3.6942131112534561E-2</v>
      </c>
      <c r="H19" s="7">
        <f t="shared" si="46"/>
        <v>-5.0715353405936442E-2</v>
      </c>
      <c r="I19" s="7">
        <f t="shared" si="46"/>
        <v>-0.28486013239376479</v>
      </c>
      <c r="J19" s="7">
        <f t="shared" si="46"/>
        <v>5.1249199231262178E-2</v>
      </c>
      <c r="K19" s="7">
        <f t="shared" si="46"/>
        <v>8.955831467535115E-2</v>
      </c>
      <c r="L19" s="7">
        <f t="shared" si="46"/>
        <v>1.6324233042499255E-2</v>
      </c>
      <c r="M19" s="7">
        <f t="shared" ref="M19:N19" si="47">M17/M18</f>
        <v>5.6031702147267513E-2</v>
      </c>
      <c r="N19" s="7">
        <f t="shared" si="47"/>
        <v>0.30545086864601517</v>
      </c>
      <c r="O19" s="7">
        <f t="shared" ref="O19:R19" si="48">O17/O18</f>
        <v>6.466302367941705E-2</v>
      </c>
      <c r="P19" s="7">
        <f t="shared" si="48"/>
        <v>5.7036021857923475E-2</v>
      </c>
      <c r="Q19" s="7">
        <f t="shared" si="48"/>
        <v>7.6287055737705084E-2</v>
      </c>
      <c r="R19" s="7">
        <f t="shared" si="48"/>
        <v>7.2389312932604671E-2</v>
      </c>
      <c r="T19" s="7">
        <f t="shared" ref="T19:Y19" si="49">T17/T18</f>
        <v>-0.25570971184631791</v>
      </c>
      <c r="U19" s="7">
        <f t="shared" si="49"/>
        <v>-0.23916755602988263</v>
      </c>
      <c r="V19" s="7">
        <f t="shared" si="49"/>
        <v>-0.51664887940234783</v>
      </c>
      <c r="W19" s="7">
        <f t="shared" si="49"/>
        <v>-0.34450373532550677</v>
      </c>
      <c r="X19" s="7">
        <f t="shared" si="49"/>
        <v>-0.3211312700106721</v>
      </c>
      <c r="Y19" s="7">
        <f t="shared" si="49"/>
        <v>0.45822226307565056</v>
      </c>
      <c r="Z19" s="7">
        <f t="shared" ref="Z19:AJ19" si="50">Z17/Z18</f>
        <v>0.27288556374666839</v>
      </c>
      <c r="AA19" s="7">
        <f t="shared" si="50"/>
        <v>0.386565635711003</v>
      </c>
      <c r="AB19" s="7">
        <f t="shared" si="50"/>
        <v>0.4825274020466031</v>
      </c>
      <c r="AC19" s="7">
        <f t="shared" si="50"/>
        <v>0.52613694351676865</v>
      </c>
      <c r="AD19" s="7">
        <f t="shared" si="50"/>
        <v>0.56656466346941625</v>
      </c>
      <c r="AE19" s="7">
        <f t="shared" si="50"/>
        <v>0.59146963645925998</v>
      </c>
      <c r="AF19" s="7">
        <f t="shared" si="50"/>
        <v>0.60574118392731024</v>
      </c>
      <c r="AG19" s="7">
        <f t="shared" si="50"/>
        <v>0.62031477067398277</v>
      </c>
      <c r="AH19" s="7">
        <f t="shared" si="50"/>
        <v>0.63519660356814356</v>
      </c>
      <c r="AI19" s="7">
        <f t="shared" si="50"/>
        <v>0.65039301527686832</v>
      </c>
      <c r="AJ19" s="7">
        <f t="shared" si="50"/>
        <v>0.66591046679801413</v>
      </c>
    </row>
    <row r="21" spans="2:152" x14ac:dyDescent="0.3">
      <c r="B21" t="s">
        <v>38</v>
      </c>
      <c r="C21" s="9"/>
      <c r="D21" s="9"/>
      <c r="E21" s="9"/>
      <c r="F21" s="9"/>
      <c r="G21" s="9">
        <f t="shared" ref="G21:L21" si="51">G3/C3-1</f>
        <v>2.1385135135135136</v>
      </c>
      <c r="H21" s="9">
        <f t="shared" si="51"/>
        <v>2.1438127090301005</v>
      </c>
      <c r="I21" s="9">
        <f t="shared" si="51"/>
        <v>1.8499999999999996</v>
      </c>
      <c r="J21" s="9">
        <f t="shared" si="51"/>
        <v>1.0988939492517895</v>
      </c>
      <c r="K21" s="9">
        <f t="shared" si="51"/>
        <v>0.79198062432723337</v>
      </c>
      <c r="L21" s="9">
        <f t="shared" si="51"/>
        <v>0.4353191489361703</v>
      </c>
      <c r="M21" s="9">
        <f t="shared" ref="M21:N21" si="52">M3/I3-1</f>
        <v>0.28194222931065038</v>
      </c>
      <c r="N21" s="9">
        <f t="shared" si="52"/>
        <v>0.15297582145071287</v>
      </c>
      <c r="O21" s="9">
        <f t="shared" ref="O21" si="53">O3/K3-1</f>
        <v>0.14701907193272268</v>
      </c>
      <c r="P21" s="9">
        <f t="shared" ref="P21" si="54">P3/L3-1</f>
        <v>0.14999999999999991</v>
      </c>
      <c r="Q21" s="9">
        <f t="shared" ref="Q21" si="55">Q3/M3-1</f>
        <v>0.12000000000000011</v>
      </c>
      <c r="R21" s="9">
        <f t="shared" ref="R21" si="56">R3/N3-1</f>
        <v>0.1100000000000001</v>
      </c>
      <c r="T21" s="9"/>
      <c r="U21" s="9">
        <f t="shared" ref="U21:AJ21" si="57">U3/T3-1</f>
        <v>-0.40233475830318977</v>
      </c>
      <c r="V21" s="9">
        <f t="shared" si="57"/>
        <v>-2.3383768913342484E-2</v>
      </c>
      <c r="W21" s="9">
        <f t="shared" si="57"/>
        <v>1.1783098591549295</v>
      </c>
      <c r="X21" s="9">
        <f t="shared" si="57"/>
        <v>1.6523988102935476</v>
      </c>
      <c r="Y21" s="9">
        <f t="shared" si="57"/>
        <v>0.36892399200429016</v>
      </c>
      <c r="Z21" s="9">
        <f t="shared" si="57"/>
        <v>0.13096623691146081</v>
      </c>
      <c r="AA21" s="9">
        <f t="shared" si="57"/>
        <v>9.000000000000008E-2</v>
      </c>
      <c r="AB21" s="9">
        <f t="shared" si="57"/>
        <v>6.0000000000000053E-2</v>
      </c>
      <c r="AC21" s="9">
        <f t="shared" si="57"/>
        <v>4.0000000000000036E-2</v>
      </c>
      <c r="AD21" s="9">
        <f t="shared" si="57"/>
        <v>3.0000000000000027E-2</v>
      </c>
      <c r="AE21" s="9">
        <f t="shared" si="57"/>
        <v>2.0000000000000018E-2</v>
      </c>
      <c r="AF21" s="9">
        <f t="shared" si="57"/>
        <v>1.0000000000000009E-2</v>
      </c>
      <c r="AG21" s="9">
        <f t="shared" si="57"/>
        <v>1.0000000000000009E-2</v>
      </c>
      <c r="AH21" s="9">
        <f t="shared" si="57"/>
        <v>1.0000000000000009E-2</v>
      </c>
      <c r="AI21" s="9">
        <f t="shared" si="57"/>
        <v>1.0000000000000009E-2</v>
      </c>
      <c r="AJ21" s="9">
        <f t="shared" si="57"/>
        <v>1.0000000000000009E-2</v>
      </c>
    </row>
    <row r="22" spans="2:152" x14ac:dyDescent="0.3">
      <c r="B22" t="s">
        <v>39</v>
      </c>
      <c r="C22" s="9">
        <f t="shared" ref="C22:F22" si="58">C5/C3</f>
        <v>0.80152027027027029</v>
      </c>
      <c r="D22" s="9">
        <f t="shared" si="58"/>
        <v>0.82073578595317731</v>
      </c>
      <c r="E22" s="9">
        <f t="shared" si="58"/>
        <v>0.79696969696969699</v>
      </c>
      <c r="F22" s="9">
        <f t="shared" si="58"/>
        <v>0.67859466493168508</v>
      </c>
      <c r="G22" s="9">
        <f>G5/G3</f>
        <v>0.63509149623250816</v>
      </c>
      <c r="H22" s="9">
        <f t="shared" ref="H22:L22" si="59">H5/H3</f>
        <v>0.61936170212765962</v>
      </c>
      <c r="I22" s="9">
        <f t="shared" si="59"/>
        <v>0.6113769271664008</v>
      </c>
      <c r="J22" s="9">
        <f t="shared" si="59"/>
        <v>0.60384376937383755</v>
      </c>
      <c r="K22" s="9">
        <f t="shared" si="59"/>
        <v>0.60474545727586726</v>
      </c>
      <c r="L22" s="9">
        <f t="shared" si="59"/>
        <v>0.61162170174918473</v>
      </c>
      <c r="M22" s="9">
        <f t="shared" ref="M22:N22" si="60">M5/M3</f>
        <v>0.59579762233895495</v>
      </c>
      <c r="N22" s="9">
        <f t="shared" si="60"/>
        <v>0.63193977685172731</v>
      </c>
      <c r="O22" s="9">
        <f t="shared" ref="O22:R22" si="61">O5/O3</f>
        <v>0.65291961246399577</v>
      </c>
      <c r="P22" s="9">
        <f t="shared" si="61"/>
        <v>0.63</v>
      </c>
      <c r="Q22" s="9">
        <f t="shared" si="61"/>
        <v>0.63</v>
      </c>
      <c r="R22" s="9">
        <f t="shared" si="61"/>
        <v>0.63</v>
      </c>
      <c r="T22" s="9">
        <f t="shared" ref="T22:AJ22" si="62">T5/T3</f>
        <v>0.54225583689575807</v>
      </c>
      <c r="U22" s="9">
        <f t="shared" si="62"/>
        <v>0.48940852819807429</v>
      </c>
      <c r="V22" s="9">
        <f t="shared" si="62"/>
        <v>0.71042253521126753</v>
      </c>
      <c r="W22" s="9">
        <f t="shared" si="62"/>
        <v>0.7552049657312816</v>
      </c>
      <c r="X22" s="9">
        <f t="shared" si="62"/>
        <v>0.61513334308419876</v>
      </c>
      <c r="Y22" s="9">
        <f t="shared" si="62"/>
        <v>0.61129710093311485</v>
      </c>
      <c r="Z22" s="9">
        <f t="shared" si="62"/>
        <v>0.63551278575178238</v>
      </c>
      <c r="AA22" s="9">
        <f t="shared" si="62"/>
        <v>0.63</v>
      </c>
      <c r="AB22" s="9">
        <f t="shared" si="62"/>
        <v>0.62999999999999989</v>
      </c>
      <c r="AC22" s="9">
        <f t="shared" si="62"/>
        <v>0.63</v>
      </c>
      <c r="AD22" s="9">
        <f t="shared" si="62"/>
        <v>0.63</v>
      </c>
      <c r="AE22" s="9">
        <f t="shared" si="62"/>
        <v>0.63</v>
      </c>
      <c r="AF22" s="9">
        <f t="shared" si="62"/>
        <v>0.63</v>
      </c>
      <c r="AG22" s="9">
        <f t="shared" si="62"/>
        <v>0.63</v>
      </c>
      <c r="AH22" s="9">
        <f t="shared" si="62"/>
        <v>0.63</v>
      </c>
      <c r="AI22" s="9">
        <f t="shared" si="62"/>
        <v>0.63</v>
      </c>
      <c r="AJ22" s="9">
        <f t="shared" si="62"/>
        <v>0.63</v>
      </c>
      <c r="AM22" t="s">
        <v>50</v>
      </c>
      <c r="AN22" s="9">
        <v>-0.01</v>
      </c>
    </row>
    <row r="23" spans="2:152" x14ac:dyDescent="0.3">
      <c r="B23" t="s">
        <v>42</v>
      </c>
      <c r="C23" s="9"/>
      <c r="D23" s="9"/>
      <c r="E23" s="9"/>
      <c r="F23" s="9"/>
      <c r="G23" s="9">
        <f>G6/C6-1</f>
        <v>2.9736618521665203E-3</v>
      </c>
      <c r="H23" s="9">
        <f t="shared" ref="H23:N23" si="63">H6/D6-1</f>
        <v>-0.13683771380892773</v>
      </c>
      <c r="I23" s="9">
        <f t="shared" si="63"/>
        <v>-0.27771514468245029</v>
      </c>
      <c r="J23" s="9">
        <f t="shared" si="63"/>
        <v>-8.9883111648528802E-2</v>
      </c>
      <c r="K23" s="9">
        <f t="shared" si="63"/>
        <v>2.6260059296908222E-2</v>
      </c>
      <c r="L23" s="9">
        <f t="shared" si="63"/>
        <v>-0.10101498308361534</v>
      </c>
      <c r="M23" s="9">
        <f t="shared" si="63"/>
        <v>0.38449531737773168</v>
      </c>
      <c r="N23" s="9">
        <f t="shared" si="63"/>
        <v>0.16917626217891923</v>
      </c>
      <c r="O23" s="9">
        <f t="shared" ref="O23:O24" si="64">O6/K6-1</f>
        <v>0.12670243499793643</v>
      </c>
      <c r="P23" s="9">
        <f t="shared" ref="P23:P24" si="65">P6/L6-1</f>
        <v>0.5</v>
      </c>
      <c r="Q23" s="9">
        <f t="shared" ref="Q23:Q24" si="66">Q6/M6-1</f>
        <v>8.0000000000000071E-2</v>
      </c>
      <c r="R23" s="9">
        <f t="shared" ref="R23:R24" si="67">R6/N6-1</f>
        <v>0.14999999999999991</v>
      </c>
      <c r="T23" s="9"/>
      <c r="U23" s="9">
        <f>U6/T6-1</f>
        <v>2.4361702127659579</v>
      </c>
      <c r="V23" s="9">
        <f t="shared" ref="V23:AJ23" si="68">V6/U6-1</f>
        <v>0.89009287925696579</v>
      </c>
      <c r="W23" s="9">
        <f t="shared" si="68"/>
        <v>0.35039585039585042</v>
      </c>
      <c r="X23" s="9">
        <f t="shared" si="68"/>
        <v>-0.12968765793995762</v>
      </c>
      <c r="Y23" s="9">
        <f t="shared" si="68"/>
        <v>0.1131242740998839</v>
      </c>
      <c r="Z23" s="9">
        <f t="shared" si="68"/>
        <v>0.19260016694490822</v>
      </c>
      <c r="AA23" s="9">
        <f t="shared" si="68"/>
        <v>9.000000000000008E-2</v>
      </c>
      <c r="AB23" s="9">
        <f t="shared" si="68"/>
        <v>7.0000000000000062E-2</v>
      </c>
      <c r="AC23" s="9">
        <f t="shared" si="68"/>
        <v>5.0000000000000044E-2</v>
      </c>
      <c r="AD23" s="9">
        <f t="shared" si="68"/>
        <v>4.0000000000000036E-2</v>
      </c>
      <c r="AE23" s="9">
        <f t="shared" si="68"/>
        <v>3.0000000000000027E-2</v>
      </c>
      <c r="AF23" s="9">
        <f t="shared" si="68"/>
        <v>2.0000000000000018E-2</v>
      </c>
      <c r="AG23" s="9">
        <f t="shared" si="68"/>
        <v>2.0000000000000018E-2</v>
      </c>
      <c r="AH23" s="9">
        <f t="shared" si="68"/>
        <v>2.0000000000000018E-2</v>
      </c>
      <c r="AI23" s="9">
        <f t="shared" si="68"/>
        <v>2.0000000000000018E-2</v>
      </c>
      <c r="AJ23" s="9">
        <f t="shared" si="68"/>
        <v>2.0000000000000018E-2</v>
      </c>
      <c r="AM23" t="s">
        <v>49</v>
      </c>
      <c r="AN23" s="9">
        <v>0.08</v>
      </c>
    </row>
    <row r="24" spans="2:152" x14ac:dyDescent="0.3">
      <c r="B24" t="s">
        <v>41</v>
      </c>
      <c r="C24" s="9"/>
      <c r="D24" s="9"/>
      <c r="E24" s="9"/>
      <c r="F24" s="9"/>
      <c r="G24" s="9">
        <f>G7/C7-1</f>
        <v>0.71763708309779539</v>
      </c>
      <c r="H24" s="9">
        <f t="shared" ref="H24:L24" si="69">H7/D7-1</f>
        <v>0.73920863309352525</v>
      </c>
      <c r="I24" s="9">
        <f t="shared" si="69"/>
        <v>0.63003663003663002</v>
      </c>
      <c r="J24" s="9">
        <f t="shared" si="69"/>
        <v>0.56795679567956792</v>
      </c>
      <c r="K24" s="9">
        <f t="shared" si="69"/>
        <v>0.49448741155175258</v>
      </c>
      <c r="L24" s="9">
        <f t="shared" si="69"/>
        <v>0.27138425173585468</v>
      </c>
      <c r="M24" s="9">
        <f t="shared" ref="M24" si="70">M7/I7-1</f>
        <v>0.3079973562458691</v>
      </c>
      <c r="N24" s="9">
        <f t="shared" ref="N24" si="71">N7/J7-1</f>
        <v>0.15717566016073481</v>
      </c>
      <c r="O24" s="9">
        <f t="shared" si="64"/>
        <v>0.14159876679145555</v>
      </c>
      <c r="P24" s="9">
        <f t="shared" si="65"/>
        <v>0.22564489890773864</v>
      </c>
      <c r="Q24" s="9">
        <f t="shared" si="66"/>
        <v>0.10924305204648821</v>
      </c>
      <c r="R24" s="9">
        <f t="shared" si="67"/>
        <v>0.12047722988391696</v>
      </c>
      <c r="T24" s="9"/>
      <c r="U24" s="9">
        <f t="shared" ref="U24:AJ24" si="72">U7/T7-1</f>
        <v>4.1747572815534095E-2</v>
      </c>
      <c r="V24" s="9">
        <f t="shared" si="72"/>
        <v>0.44800958594062035</v>
      </c>
      <c r="W24" s="9">
        <f t="shared" si="72"/>
        <v>0.62063258550937861</v>
      </c>
      <c r="X24" s="9">
        <f t="shared" si="72"/>
        <v>0.65216157948485232</v>
      </c>
      <c r="Y24" s="9">
        <f t="shared" si="72"/>
        <v>0.29329349953641692</v>
      </c>
      <c r="Z24" s="9">
        <f t="shared" si="72"/>
        <v>0.14665046996973086</v>
      </c>
      <c r="AA24" s="9">
        <f t="shared" si="72"/>
        <v>9.000000000000008E-2</v>
      </c>
      <c r="AB24" s="9">
        <f t="shared" si="72"/>
        <v>6.2646715363962047E-2</v>
      </c>
      <c r="AC24" s="9">
        <f t="shared" si="72"/>
        <v>4.26650300598439E-2</v>
      </c>
      <c r="AD24" s="9">
        <f t="shared" si="72"/>
        <v>3.2683778089954263E-2</v>
      </c>
      <c r="AE24" s="9">
        <f t="shared" si="72"/>
        <v>2.2702791767209574E-2</v>
      </c>
      <c r="AF24" s="9">
        <f t="shared" si="72"/>
        <v>1.2722076777961444E-2</v>
      </c>
      <c r="AG24" s="9">
        <f t="shared" si="72"/>
        <v>1.2741638972021185E-2</v>
      </c>
      <c r="AH24" s="9">
        <f t="shared" si="72"/>
        <v>1.2761288411425431E-2</v>
      </c>
      <c r="AI24" s="9">
        <f t="shared" si="72"/>
        <v>1.2781024721108647E-2</v>
      </c>
      <c r="AJ24" s="9">
        <f t="shared" si="72"/>
        <v>1.2800847514211622E-2</v>
      </c>
      <c r="AM24" t="s">
        <v>51</v>
      </c>
      <c r="AN24" s="5">
        <f>NPV(AN23,Z17:EV17)</f>
        <v>7448.6539452837505</v>
      </c>
    </row>
    <row r="25" spans="2:152" x14ac:dyDescent="0.3">
      <c r="B25" t="s">
        <v>40</v>
      </c>
      <c r="C25" s="9">
        <f t="shared" ref="C25:L25" si="73">(C8-C11)/C7</f>
        <v>0.73459581684567543</v>
      </c>
      <c r="D25" s="9">
        <f t="shared" si="73"/>
        <v>0.7279033915724562</v>
      </c>
      <c r="E25" s="9">
        <f t="shared" si="73"/>
        <v>0.73432449903038144</v>
      </c>
      <c r="F25" s="9">
        <f t="shared" si="73"/>
        <v>0.67704770477047693</v>
      </c>
      <c r="G25" s="9">
        <f t="shared" si="73"/>
        <v>0.63880204048050027</v>
      </c>
      <c r="H25" s="9">
        <f t="shared" si="73"/>
        <v>0.59698626089525786</v>
      </c>
      <c r="I25" s="9">
        <f t="shared" si="73"/>
        <v>0.58017184401850619</v>
      </c>
      <c r="J25" s="9">
        <f t="shared" si="73"/>
        <v>0.5872560275545351</v>
      </c>
      <c r="K25" s="9">
        <f t="shared" si="73"/>
        <v>0.59997797841885037</v>
      </c>
      <c r="L25" s="9">
        <f t="shared" si="73"/>
        <v>0.56809202881710441</v>
      </c>
      <c r="M25" s="9">
        <f>(M8-M11)/M7</f>
        <v>0.57948458817584636</v>
      </c>
      <c r="N25" s="9">
        <f>(N8-N11)/N7</f>
        <v>0.60115090782815739</v>
      </c>
      <c r="O25" s="9">
        <f t="shared" ref="O25:R25" si="74">(O8-O11)/O7</f>
        <v>0.61361882716049376</v>
      </c>
      <c r="P25" s="9">
        <f t="shared" si="74"/>
        <v>0.59786782203092559</v>
      </c>
      <c r="Q25" s="9">
        <f t="shared" si="74"/>
        <v>0.59687859649634289</v>
      </c>
      <c r="R25" s="9">
        <f t="shared" si="74"/>
        <v>0.59946791413308254</v>
      </c>
      <c r="T25" s="9">
        <f t="shared" ref="T25:AJ25" si="75">(T8-T11)/T7</f>
        <v>0.45256588072122061</v>
      </c>
      <c r="U25" s="9">
        <f t="shared" si="75"/>
        <v>0.51471175609106645</v>
      </c>
      <c r="V25" s="9">
        <f t="shared" si="75"/>
        <v>0.66917984553144538</v>
      </c>
      <c r="W25" s="9">
        <f t="shared" si="75"/>
        <v>0.71490979235220709</v>
      </c>
      <c r="X25" s="9">
        <f t="shared" si="75"/>
        <v>0.59843411970742766</v>
      </c>
      <c r="Y25" s="9">
        <f t="shared" si="75"/>
        <v>0.58762147522701935</v>
      </c>
      <c r="Z25" s="9">
        <f t="shared" si="75"/>
        <v>0.60181637900991436</v>
      </c>
      <c r="AA25" s="9">
        <f t="shared" si="75"/>
        <v>0.60792846846659088</v>
      </c>
      <c r="AB25" s="9">
        <f t="shared" si="75"/>
        <v>0.60860611221422101</v>
      </c>
      <c r="AC25" s="9">
        <f t="shared" si="75"/>
        <v>0.60929978932830398</v>
      </c>
      <c r="AD25" s="9">
        <f t="shared" si="75"/>
        <v>0.61000329538675135</v>
      </c>
      <c r="AE25" s="9">
        <f t="shared" si="75"/>
        <v>0.61071684078457056</v>
      </c>
      <c r="AF25" s="9">
        <f t="shared" si="75"/>
        <v>0.61144064196478043</v>
      </c>
      <c r="AG25" s="9">
        <f t="shared" si="75"/>
        <v>0.61216767122274374</v>
      </c>
      <c r="AH25" s="9">
        <f t="shared" si="75"/>
        <v>0.61289791468101984</v>
      </c>
      <c r="AI25" s="9">
        <f t="shared" si="75"/>
        <v>0.61363135802583013</v>
      </c>
      <c r="AJ25" s="9">
        <f t="shared" si="75"/>
        <v>0.61436798650572155</v>
      </c>
      <c r="AM25" t="s">
        <v>52</v>
      </c>
      <c r="AN25" s="5">
        <f>Main!D8</f>
        <v>1822.9000000000005</v>
      </c>
    </row>
    <row r="26" spans="2:152" x14ac:dyDescent="0.3">
      <c r="B26" t="s">
        <v>44</v>
      </c>
      <c r="C26" s="9"/>
      <c r="D26" s="9"/>
      <c r="E26" s="9"/>
      <c r="F26" s="9"/>
      <c r="G26" s="9">
        <f>G9/C9-1</f>
        <v>0.4297924297924296</v>
      </c>
      <c r="H26" s="9">
        <f t="shared" ref="H26:L26" si="76">H9/D9-1</f>
        <v>0.2756539235412474</v>
      </c>
      <c r="I26" s="9">
        <f t="shared" si="76"/>
        <v>0.13550135501355021</v>
      </c>
      <c r="J26" s="9">
        <f t="shared" si="76"/>
        <v>0.25154457193292168</v>
      </c>
      <c r="K26" s="9">
        <f t="shared" si="76"/>
        <v>0.11784799316823236</v>
      </c>
      <c r="L26" s="9">
        <f t="shared" si="76"/>
        <v>4.258675078864349E-2</v>
      </c>
      <c r="M26" s="9">
        <f t="shared" ref="M26" si="77">M9/I9-1</f>
        <v>0.11137629276054084</v>
      </c>
      <c r="N26" s="9">
        <f t="shared" ref="N26" si="78">N9/J9-1</f>
        <v>5.0775740479548581E-2</v>
      </c>
      <c r="O26" s="9">
        <f t="shared" ref="O26" si="79">O9/K9-1</f>
        <v>0.19327731092436951</v>
      </c>
      <c r="P26" s="9">
        <f t="shared" ref="P26" si="80">P9/L9-1</f>
        <v>5.0000000000000044E-2</v>
      </c>
      <c r="Q26" s="9">
        <f t="shared" ref="Q26" si="81">Q9/M9-1</f>
        <v>5.0000000000000044E-2</v>
      </c>
      <c r="R26" s="9">
        <f t="shared" ref="R26" si="82">R9/N9-1</f>
        <v>5.0000000000000044E-2</v>
      </c>
      <c r="T26" s="9"/>
      <c r="U26" s="9">
        <f t="shared" ref="U26:AJ26" si="83">U9/T9-1</f>
        <v>0.36406779661016953</v>
      </c>
      <c r="V26" s="9">
        <f t="shared" si="83"/>
        <v>0.37226640159045754</v>
      </c>
      <c r="W26" s="9">
        <f t="shared" si="83"/>
        <v>0.46794639623324885</v>
      </c>
      <c r="X26" s="9">
        <f t="shared" si="83"/>
        <v>0.2617813964964224</v>
      </c>
      <c r="Y26" s="9">
        <f t="shared" si="83"/>
        <v>7.8998826750097839E-2</v>
      </c>
      <c r="Z26" s="9">
        <f t="shared" si="83"/>
        <v>8.3988764044943931E-2</v>
      </c>
      <c r="AA26" s="9">
        <f t="shared" si="83"/>
        <v>3.0000000000000027E-2</v>
      </c>
      <c r="AB26" s="9">
        <f t="shared" si="83"/>
        <v>2.0000000000000018E-2</v>
      </c>
      <c r="AC26" s="9">
        <f t="shared" si="83"/>
        <v>2.0000000000000018E-2</v>
      </c>
      <c r="AD26" s="9">
        <f t="shared" si="83"/>
        <v>1.0000000000000009E-2</v>
      </c>
      <c r="AE26" s="9">
        <f t="shared" si="83"/>
        <v>1.0000000000000009E-2</v>
      </c>
      <c r="AF26" s="9">
        <f t="shared" si="83"/>
        <v>1.0000000000000009E-2</v>
      </c>
      <c r="AG26" s="9">
        <f t="shared" si="83"/>
        <v>1.0000000000000009E-2</v>
      </c>
      <c r="AH26" s="9">
        <f t="shared" si="83"/>
        <v>1.0000000000000009E-2</v>
      </c>
      <c r="AI26" s="9">
        <f t="shared" si="83"/>
        <v>1.0000000000000009E-2</v>
      </c>
      <c r="AJ26" s="9">
        <f t="shared" si="83"/>
        <v>1.0000000000000009E-2</v>
      </c>
      <c r="AM26" t="s">
        <v>53</v>
      </c>
      <c r="AN26" s="5">
        <f>AN24+AN25</f>
        <v>9271.5539452837511</v>
      </c>
    </row>
    <row r="27" spans="2:152" x14ac:dyDescent="0.3">
      <c r="B27" t="s">
        <v>43</v>
      </c>
      <c r="C27" s="9">
        <f t="shared" ref="C27:F27" si="84">C10/C7</f>
        <v>0.39033352176370828</v>
      </c>
      <c r="D27" s="9">
        <f t="shared" si="84"/>
        <v>0.36973278520041114</v>
      </c>
      <c r="E27" s="9">
        <f t="shared" si="84"/>
        <v>0.34927817280758455</v>
      </c>
      <c r="F27" s="9">
        <f t="shared" si="84"/>
        <v>0.3126912691269127</v>
      </c>
      <c r="G27" s="9">
        <f>G10/G7</f>
        <v>0.28830014809939108</v>
      </c>
      <c r="H27" s="9">
        <f t="shared" ref="H27:L27" si="85">H10/H7</f>
        <v>0.27005466095435077</v>
      </c>
      <c r="I27" s="9">
        <f t="shared" si="85"/>
        <v>0.24679444811632517</v>
      </c>
      <c r="J27" s="9">
        <f t="shared" si="85"/>
        <v>0.20057405281285878</v>
      </c>
      <c r="K27" s="9">
        <f t="shared" si="85"/>
        <v>0.18432063422153711</v>
      </c>
      <c r="L27" s="9">
        <f t="shared" si="85"/>
        <v>0.21473390657680688</v>
      </c>
      <c r="M27" s="9">
        <f t="shared" ref="M27:N27" si="86">M10/M7</f>
        <v>0.21718039413845378</v>
      </c>
      <c r="N27" s="9">
        <f t="shared" si="86"/>
        <v>0.2275027284452823</v>
      </c>
      <c r="O27" s="9">
        <f t="shared" ref="O27:R27" si="87">O10/O7</f>
        <v>0.22974537037037038</v>
      </c>
      <c r="P27" s="9">
        <f t="shared" si="87"/>
        <v>0.24</v>
      </c>
      <c r="Q27" s="9">
        <f t="shared" si="87"/>
        <v>0.22</v>
      </c>
      <c r="R27" s="9">
        <f t="shared" si="87"/>
        <v>0.22</v>
      </c>
      <c r="T27" s="9">
        <f t="shared" ref="T27:AJ27" si="88">T10/T7</f>
        <v>0.36920943134535367</v>
      </c>
      <c r="U27" s="9">
        <f t="shared" si="88"/>
        <v>0.36825988550126482</v>
      </c>
      <c r="V27" s="9">
        <f t="shared" si="88"/>
        <v>0.39251563074659801</v>
      </c>
      <c r="W27" s="9">
        <f t="shared" si="88"/>
        <v>0.35050493589016224</v>
      </c>
      <c r="X27" s="9">
        <f t="shared" si="88"/>
        <v>0.2470382198413516</v>
      </c>
      <c r="Y27" s="9">
        <f t="shared" si="88"/>
        <v>0.21145982688120654</v>
      </c>
      <c r="Z27" s="9">
        <f t="shared" si="88"/>
        <v>0.22722465940259556</v>
      </c>
      <c r="AA27" s="9">
        <f t="shared" si="88"/>
        <v>0.21</v>
      </c>
      <c r="AB27" s="9">
        <f t="shared" si="88"/>
        <v>0.2</v>
      </c>
      <c r="AC27" s="9">
        <f t="shared" si="88"/>
        <v>0.2</v>
      </c>
      <c r="AD27" s="9">
        <f t="shared" si="88"/>
        <v>0.2</v>
      </c>
      <c r="AE27" s="9">
        <f t="shared" si="88"/>
        <v>0.2</v>
      </c>
      <c r="AF27" s="9">
        <f t="shared" si="88"/>
        <v>0.2</v>
      </c>
      <c r="AG27" s="9">
        <f t="shared" si="88"/>
        <v>0.2</v>
      </c>
      <c r="AH27" s="9">
        <f t="shared" si="88"/>
        <v>0.2</v>
      </c>
      <c r="AI27" s="9">
        <f t="shared" si="88"/>
        <v>0.19999999999999998</v>
      </c>
      <c r="AJ27" s="9">
        <f t="shared" si="88"/>
        <v>0.2</v>
      </c>
      <c r="AM27" t="s">
        <v>54</v>
      </c>
      <c r="AN27" s="4">
        <f>AN26/AJ18</f>
        <v>8.5224321585474314</v>
      </c>
    </row>
    <row r="28" spans="2:152" x14ac:dyDescent="0.3">
      <c r="B28" t="s">
        <v>46</v>
      </c>
      <c r="C28" s="9">
        <f>C11/C7</f>
        <v>0.19898247597512719</v>
      </c>
      <c r="D28" s="9">
        <f t="shared" ref="D28:N28" si="89">D11/D7</f>
        <v>0.20323741007194243</v>
      </c>
      <c r="E28" s="9">
        <f t="shared" si="89"/>
        <v>0.17905623787976727</v>
      </c>
      <c r="F28" s="9">
        <f t="shared" si="89"/>
        <v>0.1450945094509451</v>
      </c>
      <c r="G28" s="9">
        <f t="shared" si="89"/>
        <v>0.13806154352476552</v>
      </c>
      <c r="H28" s="9">
        <f t="shared" si="89"/>
        <v>0.13872063820357514</v>
      </c>
      <c r="I28" s="9">
        <f t="shared" si="89"/>
        <v>0.12994051553205552</v>
      </c>
      <c r="J28" s="9">
        <f t="shared" si="89"/>
        <v>0.11928817451205512</v>
      </c>
      <c r="K28" s="9">
        <f t="shared" si="89"/>
        <v>0.1102180136533803</v>
      </c>
      <c r="L28" s="9">
        <f t="shared" si="89"/>
        <v>0.12746920752963048</v>
      </c>
      <c r="M28" s="9">
        <f t="shared" si="89"/>
        <v>0.12501263264274887</v>
      </c>
      <c r="N28" s="9">
        <f t="shared" si="89"/>
        <v>0.12719515824982636</v>
      </c>
      <c r="O28" s="9">
        <f t="shared" ref="O28:R28" si="90">O11/O7</f>
        <v>0.13069058641975309</v>
      </c>
      <c r="P28" s="9">
        <f t="shared" si="90"/>
        <v>0.13</v>
      </c>
      <c r="Q28" s="9">
        <f t="shared" si="90"/>
        <v>0.13</v>
      </c>
      <c r="R28" s="9">
        <f t="shared" si="90"/>
        <v>0.13</v>
      </c>
      <c r="T28" s="9">
        <f t="shared" ref="T28:AJ28" si="91">T11/T7</f>
        <v>0.16130374479889042</v>
      </c>
      <c r="U28" s="9">
        <f t="shared" si="91"/>
        <v>0.23818399680468647</v>
      </c>
      <c r="V28" s="9">
        <f t="shared" si="91"/>
        <v>0.2363001103346819</v>
      </c>
      <c r="W28" s="9">
        <f t="shared" si="91"/>
        <v>0.17769204584137072</v>
      </c>
      <c r="X28" s="9">
        <f t="shared" si="91"/>
        <v>0.13049002438103086</v>
      </c>
      <c r="Y28" s="9">
        <f t="shared" si="91"/>
        <v>0.12259040943125696</v>
      </c>
      <c r="Z28" s="9">
        <f t="shared" si="91"/>
        <v>0.13016579773371167</v>
      </c>
      <c r="AA28" s="9">
        <f t="shared" si="91"/>
        <v>0.12000000000000001</v>
      </c>
      <c r="AB28" s="9">
        <f t="shared" si="91"/>
        <v>0.12</v>
      </c>
      <c r="AC28" s="9">
        <f t="shared" si="91"/>
        <v>0.12</v>
      </c>
      <c r="AD28" s="9">
        <f t="shared" si="91"/>
        <v>0.12</v>
      </c>
      <c r="AE28" s="9">
        <f t="shared" si="91"/>
        <v>0.12</v>
      </c>
      <c r="AF28" s="9">
        <f t="shared" si="91"/>
        <v>0.11999999999999998</v>
      </c>
      <c r="AG28" s="9">
        <f t="shared" si="91"/>
        <v>0.12</v>
      </c>
      <c r="AH28" s="9">
        <f t="shared" si="91"/>
        <v>0.12</v>
      </c>
      <c r="AI28" s="9">
        <f t="shared" si="91"/>
        <v>0.12</v>
      </c>
      <c r="AJ28" s="9">
        <f t="shared" si="91"/>
        <v>0.11999999999999998</v>
      </c>
      <c r="AM28" t="s">
        <v>55</v>
      </c>
      <c r="AN28" s="4">
        <f>Main!D3</f>
        <v>12.7</v>
      </c>
    </row>
    <row r="29" spans="2:152" x14ac:dyDescent="0.3">
      <c r="B29" t="s">
        <v>45</v>
      </c>
      <c r="C29" s="9"/>
      <c r="D29" s="9"/>
      <c r="E29" s="9"/>
      <c r="F29" s="9"/>
      <c r="G29" s="9">
        <f>G12/C12-1</f>
        <v>-9.3772893772893773E-2</v>
      </c>
      <c r="H29" s="9">
        <f t="shared" ref="H29:L29" si="92">H12/D12-1</f>
        <v>4.2925278219395846E-2</v>
      </c>
      <c r="I29" s="9">
        <f t="shared" si="92"/>
        <v>-1.3470681458003231E-2</v>
      </c>
      <c r="J29" s="9">
        <f t="shared" si="92"/>
        <v>0.16445623342175053</v>
      </c>
      <c r="K29" s="9">
        <f t="shared" si="92"/>
        <v>0.17380759902991105</v>
      </c>
      <c r="L29" s="9">
        <f t="shared" si="92"/>
        <v>0.10518292682926833</v>
      </c>
      <c r="M29" s="9">
        <f t="shared" ref="M29" si="93">M12/I12-1</f>
        <v>0.19598393574297202</v>
      </c>
      <c r="N29" s="9">
        <f t="shared" ref="N29" si="94">N12/J12-1</f>
        <v>0.22171602126044054</v>
      </c>
      <c r="O29" s="9">
        <f t="shared" ref="O29" si="95">O12/K12-1</f>
        <v>7.713498622589543E-2</v>
      </c>
      <c r="P29" s="9">
        <f t="shared" ref="P29" si="96">P12/L12-1</f>
        <v>0.10000000000000009</v>
      </c>
      <c r="Q29" s="9">
        <f t="shared" ref="Q29" si="97">Q12/M12-1</f>
        <v>0.10000000000000009</v>
      </c>
      <c r="R29" s="9">
        <f t="shared" ref="R29" si="98">R12/N12-1</f>
        <v>8.0000000000000071E-2</v>
      </c>
      <c r="T29" s="9"/>
      <c r="U29" s="9">
        <f t="shared" ref="U29:AJ29" si="99">U12/T12-1</f>
        <v>0.55876559422193028</v>
      </c>
      <c r="V29" s="9">
        <f t="shared" si="99"/>
        <v>1.0998315080033696</v>
      </c>
      <c r="W29" s="9">
        <f t="shared" si="99"/>
        <v>6.21865596790383E-3</v>
      </c>
      <c r="X29" s="9">
        <f t="shared" si="99"/>
        <v>1.8939393939393812E-2</v>
      </c>
      <c r="Y29" s="9">
        <f t="shared" si="99"/>
        <v>0.1739385638818236</v>
      </c>
      <c r="Z29" s="9">
        <f t="shared" si="99"/>
        <v>8.9103333333333312E-2</v>
      </c>
      <c r="AA29" s="9">
        <f t="shared" si="99"/>
        <v>9.000000000000008E-2</v>
      </c>
      <c r="AB29" s="9">
        <f t="shared" si="99"/>
        <v>5.0000000000000044E-2</v>
      </c>
      <c r="AC29" s="9">
        <f t="shared" si="99"/>
        <v>3.0000000000000027E-2</v>
      </c>
      <c r="AD29" s="9">
        <f t="shared" si="99"/>
        <v>2.0000000000000018E-2</v>
      </c>
      <c r="AE29" s="9">
        <f t="shared" si="99"/>
        <v>2.0000000000000018E-2</v>
      </c>
      <c r="AF29" s="9">
        <f t="shared" si="99"/>
        <v>1.0000000000000009E-2</v>
      </c>
      <c r="AG29" s="9">
        <f t="shared" si="99"/>
        <v>1.0000000000000009E-2</v>
      </c>
      <c r="AH29" s="9">
        <f t="shared" si="99"/>
        <v>1.0000000000000009E-2</v>
      </c>
      <c r="AI29" s="9">
        <f t="shared" si="99"/>
        <v>1.0000000000000009E-2</v>
      </c>
      <c r="AJ29" s="9">
        <f t="shared" si="99"/>
        <v>1.0000000000000009E-2</v>
      </c>
      <c r="AM29" s="1" t="s">
        <v>56</v>
      </c>
      <c r="AN29" s="10">
        <f>AN27/AN28-1</f>
        <v>-0.32894234972067471</v>
      </c>
    </row>
    <row r="30" spans="2:152" x14ac:dyDescent="0.3">
      <c r="B30" t="s">
        <v>47</v>
      </c>
      <c r="C30" s="9">
        <f t="shared" ref="C30:F30" si="100">C15/C7</f>
        <v>-0.30977953646127743</v>
      </c>
      <c r="D30" s="9">
        <f t="shared" si="100"/>
        <v>-0.24640287769784183</v>
      </c>
      <c r="E30" s="9">
        <f t="shared" si="100"/>
        <v>-0.16052574876104275</v>
      </c>
      <c r="F30" s="9">
        <f t="shared" si="100"/>
        <v>-7.0027002700270194E-2</v>
      </c>
      <c r="G30" s="9">
        <f>G15/G7</f>
        <v>-5.9568866216883121E-2</v>
      </c>
      <c r="H30" s="9">
        <f t="shared" ref="H30:L30" si="101">H15/H7</f>
        <v>-7.2832028364603438E-2</v>
      </c>
      <c r="I30" s="9">
        <f t="shared" si="101"/>
        <v>-0.35294117647058837</v>
      </c>
      <c r="J30" s="9">
        <f t="shared" si="101"/>
        <v>5.878300803673956E-2</v>
      </c>
      <c r="K30" s="9">
        <f t="shared" si="101"/>
        <v>0.10372164721427003</v>
      </c>
      <c r="L30" s="9">
        <f t="shared" si="101"/>
        <v>1.7778294213339478E-2</v>
      </c>
      <c r="M30" s="9">
        <f t="shared" ref="M30:N30" si="102">M15/M7</f>
        <v>6.4578069732187951E-2</v>
      </c>
      <c r="N30" s="9">
        <f t="shared" si="102"/>
        <v>5.9331282865363585E-2</v>
      </c>
      <c r="O30" s="9">
        <f t="shared" ref="O30:R30" si="103">O15/O7</f>
        <v>7.6871141975308574E-2</v>
      </c>
      <c r="P30" s="9">
        <f t="shared" si="103"/>
        <v>6.74687852558329E-2</v>
      </c>
      <c r="Q30" s="9">
        <f t="shared" si="103"/>
        <v>8.6721744612772086E-2</v>
      </c>
      <c r="R30" s="9">
        <f t="shared" si="103"/>
        <v>7.9978571346348074E-2</v>
      </c>
      <c r="T30" s="9">
        <f t="shared" ref="T30:AJ30" si="104">T15/T7</f>
        <v>-0.33245492371705948</v>
      </c>
      <c r="U30" s="9">
        <f t="shared" si="104"/>
        <v>-0.43749167887098922</v>
      </c>
      <c r="V30" s="9">
        <f t="shared" si="104"/>
        <v>-0.44253401986024271</v>
      </c>
      <c r="W30" s="9">
        <f t="shared" si="104"/>
        <v>-0.18092590491319635</v>
      </c>
      <c r="X30" s="9">
        <f t="shared" si="104"/>
        <v>-0.10346485354211726</v>
      </c>
      <c r="Y30" s="9">
        <f t="shared" si="104"/>
        <v>6.1919175827093692E-2</v>
      </c>
      <c r="Z30" s="9">
        <f t="shared" si="104"/>
        <v>7.7890886103209225E-2</v>
      </c>
      <c r="AA30" s="9">
        <f t="shared" si="104"/>
        <v>0.10510717531628565</v>
      </c>
      <c r="AB30" s="9">
        <f t="shared" si="104"/>
        <v>0.12346452726444943</v>
      </c>
      <c r="AC30" s="9">
        <f t="shared" si="104"/>
        <v>0.12911425868463827</v>
      </c>
      <c r="AD30" s="9">
        <f t="shared" si="104"/>
        <v>0.13463486454570017</v>
      </c>
      <c r="AE30" s="9">
        <f t="shared" si="104"/>
        <v>0.13743301267678215</v>
      </c>
      <c r="AF30" s="9">
        <f t="shared" si="104"/>
        <v>0.13898100143385733</v>
      </c>
      <c r="AG30" s="9">
        <f t="shared" si="104"/>
        <v>0.1405341239518976</v>
      </c>
      <c r="AH30" s="9">
        <f t="shared" si="104"/>
        <v>0.14209236502987943</v>
      </c>
      <c r="AI30" s="9">
        <f t="shared" si="104"/>
        <v>0.1436557084878996</v>
      </c>
      <c r="AJ30" s="9">
        <f t="shared" si="104"/>
        <v>0.14522413716572943</v>
      </c>
      <c r="AM30" t="s">
        <v>57</v>
      </c>
      <c r="AN30" s="6" t="s">
        <v>64</v>
      </c>
    </row>
    <row r="31" spans="2:152" x14ac:dyDescent="0.3">
      <c r="B31" t="s">
        <v>34</v>
      </c>
      <c r="C31" s="9">
        <f t="shared" ref="C31:F31" si="105">C16/C15</f>
        <v>-7.2992700729927031E-3</v>
      </c>
      <c r="D31" s="9">
        <f t="shared" si="105"/>
        <v>-1.0427528675703854E-3</v>
      </c>
      <c r="E31" s="9">
        <f t="shared" si="105"/>
        <v>2.6845637583892638E-3</v>
      </c>
      <c r="F31" s="9">
        <f t="shared" si="105"/>
        <v>-8.2262210796914981E-2</v>
      </c>
      <c r="G31" s="9">
        <f>G16/G15</f>
        <v>4.4198895027624467E-2</v>
      </c>
      <c r="H31" s="9">
        <f t="shared" ref="H31:L31" si="106">H16/H15</f>
        <v>3.6511156186612527E-2</v>
      </c>
      <c r="I31" s="9">
        <f t="shared" si="106"/>
        <v>7.4906367041198472E-4</v>
      </c>
      <c r="J31" s="9">
        <f t="shared" si="106"/>
        <v>6.2499999999999813E-2</v>
      </c>
      <c r="K31" s="9">
        <f t="shared" si="106"/>
        <v>6.5817409766454324E-2</v>
      </c>
      <c r="L31" s="9">
        <f t="shared" si="106"/>
        <v>-0.13725490196078471</v>
      </c>
      <c r="M31" s="9">
        <f t="shared" ref="M31:N31" si="107">M16/M15</f>
        <v>4.8513302034428815E-2</v>
      </c>
      <c r="N31" s="9">
        <f t="shared" si="107"/>
        <v>-4.5568561872909736</v>
      </c>
      <c r="O31" s="9">
        <f t="shared" ref="O31:R31" si="108">O16/O15</f>
        <v>0.10915934755332506</v>
      </c>
      <c r="P31" s="9">
        <f t="shared" si="108"/>
        <v>0.12000000000000001</v>
      </c>
      <c r="Q31" s="9">
        <f t="shared" si="108"/>
        <v>0.12</v>
      </c>
      <c r="R31" s="9">
        <f t="shared" si="108"/>
        <v>0.12</v>
      </c>
      <c r="T31" s="9">
        <f t="shared" ref="T31:AJ31" si="109">T16/T15</f>
        <v>4.1718815185648754E-4</v>
      </c>
      <c r="U31" s="9">
        <f t="shared" si="109"/>
        <v>0.31801582471089468</v>
      </c>
      <c r="V31" s="9">
        <f t="shared" si="109"/>
        <v>-5.8175773945564101E-3</v>
      </c>
      <c r="W31" s="9">
        <f t="shared" si="109"/>
        <v>-1.2229539040451558E-2</v>
      </c>
      <c r="X31" s="9">
        <f t="shared" si="109"/>
        <v>1.3275804845668793E-3</v>
      </c>
      <c r="Y31" s="9">
        <f t="shared" si="109"/>
        <v>-1.1376500857632921</v>
      </c>
      <c r="Z31" s="9">
        <f t="shared" si="109"/>
        <v>0.11743142254954125</v>
      </c>
      <c r="AA31" s="9">
        <f t="shared" si="109"/>
        <v>0.15</v>
      </c>
      <c r="AB31" s="9">
        <f t="shared" si="109"/>
        <v>0.15</v>
      </c>
      <c r="AC31" s="9">
        <f t="shared" si="109"/>
        <v>0.15</v>
      </c>
      <c r="AD31" s="9">
        <f t="shared" si="109"/>
        <v>0.15</v>
      </c>
      <c r="AE31" s="9">
        <f t="shared" si="109"/>
        <v>0.15</v>
      </c>
      <c r="AF31" s="9">
        <f t="shared" si="109"/>
        <v>0.15</v>
      </c>
      <c r="AG31" s="9">
        <f t="shared" si="109"/>
        <v>0.15</v>
      </c>
      <c r="AH31" s="9">
        <f t="shared" si="109"/>
        <v>0.15</v>
      </c>
      <c r="AI31" s="9">
        <f t="shared" si="109"/>
        <v>0.15</v>
      </c>
      <c r="AJ31" s="9">
        <f t="shared" si="109"/>
        <v>0.15</v>
      </c>
    </row>
    <row r="32" spans="2:152" x14ac:dyDescent="0.3">
      <c r="B32" t="s">
        <v>48</v>
      </c>
      <c r="C32" s="9">
        <f>C17/C7</f>
        <v>-0.31204070096099479</v>
      </c>
      <c r="D32" s="9">
        <f t="shared" ref="D32:AJ32" si="110">D17/D7</f>
        <v>-0.24665981500513884</v>
      </c>
      <c r="E32" s="9">
        <f t="shared" si="110"/>
        <v>-0.16009480715363056</v>
      </c>
      <c r="F32" s="9">
        <f t="shared" si="110"/>
        <v>-7.5787578757875951E-2</v>
      </c>
      <c r="G32" s="9">
        <f t="shared" si="110"/>
        <v>-5.6935988152048499E-2</v>
      </c>
      <c r="H32" s="9">
        <f t="shared" si="110"/>
        <v>-7.017284680159562E-2</v>
      </c>
      <c r="I32" s="9">
        <f t="shared" si="110"/>
        <v>-0.35267680105750182</v>
      </c>
      <c r="J32" s="9">
        <f t="shared" si="110"/>
        <v>5.5109070034443347E-2</v>
      </c>
      <c r="K32" s="9">
        <f t="shared" si="110"/>
        <v>9.68949570579168E-2</v>
      </c>
      <c r="L32" s="9">
        <f t="shared" si="110"/>
        <v>2.0218452242621376E-2</v>
      </c>
      <c r="M32" s="9">
        <f t="shared" si="110"/>
        <v>6.1445174330469907E-2</v>
      </c>
      <c r="N32" s="9">
        <f t="shared" si="110"/>
        <v>0.32969540629030653</v>
      </c>
      <c r="O32" s="9">
        <f t="shared" si="110"/>
        <v>6.8479938271604868E-2</v>
      </c>
      <c r="P32" s="9">
        <f t="shared" si="110"/>
        <v>5.9372531025132944E-2</v>
      </c>
      <c r="Q32" s="9">
        <f t="shared" si="110"/>
        <v>7.6315135259239442E-2</v>
      </c>
      <c r="R32" s="9">
        <f t="shared" si="110"/>
        <v>7.0381142784786313E-2</v>
      </c>
      <c r="T32" s="9">
        <f t="shared" si="110"/>
        <v>-0.33231622746185835</v>
      </c>
      <c r="U32" s="9">
        <f t="shared" si="110"/>
        <v>-0.29836240181067769</v>
      </c>
      <c r="V32" s="9">
        <f t="shared" si="110"/>
        <v>-0.44510849577050388</v>
      </c>
      <c r="W32" s="9">
        <f t="shared" si="110"/>
        <v>-0.18313854533076129</v>
      </c>
      <c r="X32" s="9">
        <f t="shared" si="110"/>
        <v>-0.10332749562171618</v>
      </c>
      <c r="Y32" s="9">
        <f t="shared" si="110"/>
        <v>0.13236153151717919</v>
      </c>
      <c r="Z32" s="9">
        <f t="shared" si="110"/>
        <v>6.8744048544465072E-2</v>
      </c>
      <c r="AA32" s="9">
        <f t="shared" si="110"/>
        <v>8.9341099018842796E-2</v>
      </c>
      <c r="AB32" s="9">
        <f t="shared" si="110"/>
        <v>0.10494484817478203</v>
      </c>
      <c r="AC32" s="9">
        <f t="shared" si="110"/>
        <v>0.10974711988194252</v>
      </c>
      <c r="AD32" s="9">
        <f t="shared" si="110"/>
        <v>0.11443963486384516</v>
      </c>
      <c r="AE32" s="9">
        <f t="shared" si="110"/>
        <v>0.11681806077526483</v>
      </c>
      <c r="AF32" s="9">
        <f t="shared" si="110"/>
        <v>0.11813385121877873</v>
      </c>
      <c r="AG32" s="9">
        <f t="shared" si="110"/>
        <v>0.11945400535911295</v>
      </c>
      <c r="AH32" s="9">
        <f t="shared" si="110"/>
        <v>0.12077851027539752</v>
      </c>
      <c r="AI32" s="9">
        <f t="shared" si="110"/>
        <v>0.12210735221471467</v>
      </c>
      <c r="AJ32" s="9">
        <f t="shared" si="110"/>
        <v>0.12344051659087002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2024-09-23T15:40:19Z</dcterms:created>
  <dcterms:modified xsi:type="dcterms:W3CDTF">2025-05-04T11:40:06Z</dcterms:modified>
</cp:coreProperties>
</file>