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D2517D63-C28A-41E0-B240-7449EB37CF7E}" xr6:coauthVersionLast="47" xr6:coauthVersionMax="47" xr10:uidLastSave="{00000000-0000-0000-0000-000000000000}"/>
  <bookViews>
    <workbookView xWindow="-108" yWindow="-108" windowWidth="23256" windowHeight="12576" activeTab="1" xr2:uid="{30EBCB5C-6AEB-429F-AD50-6C6253964D7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2" l="1"/>
  <c r="T31" i="2"/>
  <c r="U31" i="2" s="1"/>
  <c r="V31" i="2" s="1"/>
  <c r="W31" i="2" s="1"/>
  <c r="X31" i="2" s="1"/>
  <c r="Y31" i="2" s="1"/>
  <c r="Z31" i="2" s="1"/>
  <c r="AA31" i="2" s="1"/>
  <c r="AB31" i="2" s="1"/>
  <c r="AC31" i="2" s="1"/>
  <c r="S31" i="2"/>
  <c r="T40" i="2"/>
  <c r="U40" i="2" s="1"/>
  <c r="V40" i="2" s="1"/>
  <c r="W40" i="2" s="1"/>
  <c r="X40" i="2" s="1"/>
  <c r="Y40" i="2" s="1"/>
  <c r="Z40" i="2" s="1"/>
  <c r="AA40" i="2" s="1"/>
  <c r="AB40" i="2" s="1"/>
  <c r="AC40" i="2" s="1"/>
  <c r="S40" i="2"/>
  <c r="AF48" i="2"/>
  <c r="AF45" i="2"/>
  <c r="R39" i="2"/>
  <c r="Q39" i="2"/>
  <c r="P39" i="2"/>
  <c r="P41" i="2" s="1"/>
  <c r="Q41" i="2"/>
  <c r="O30" i="2"/>
  <c r="N30" i="2"/>
  <c r="P24" i="2"/>
  <c r="O24" i="2"/>
  <c r="P23" i="2"/>
  <c r="O23" i="2"/>
  <c r="O22" i="2"/>
  <c r="P21" i="2"/>
  <c r="O21" i="2"/>
  <c r="R40" i="2"/>
  <c r="N16" i="2"/>
  <c r="N18" i="2"/>
  <c r="N11" i="2"/>
  <c r="N5" i="2"/>
  <c r="N22" i="2" s="1"/>
  <c r="O16" i="2"/>
  <c r="O18" i="2"/>
  <c r="O11" i="2"/>
  <c r="O5" i="2"/>
  <c r="S21" i="2"/>
  <c r="AF29" i="2"/>
  <c r="AC18" i="2"/>
  <c r="AB18" i="2"/>
  <c r="AA18" i="2"/>
  <c r="Z18" i="2"/>
  <c r="Y18" i="2"/>
  <c r="X18" i="2"/>
  <c r="W18" i="2"/>
  <c r="V18" i="2"/>
  <c r="U18" i="2"/>
  <c r="T18" i="2"/>
  <c r="S18" i="2"/>
  <c r="S9" i="2"/>
  <c r="T9" i="2" s="1"/>
  <c r="U9" i="2" s="1"/>
  <c r="V9" i="2" s="1"/>
  <c r="W9" i="2" s="1"/>
  <c r="X9" i="2" s="1"/>
  <c r="Y9" i="2" s="1"/>
  <c r="Z9" i="2" s="1"/>
  <c r="AA9" i="2" s="1"/>
  <c r="AB9" i="2" s="1"/>
  <c r="AC9" i="2" s="1"/>
  <c r="S7" i="2"/>
  <c r="T7" i="2" s="1"/>
  <c r="U7" i="2" s="1"/>
  <c r="S6" i="2"/>
  <c r="S23" i="2" s="1"/>
  <c r="Q24" i="2"/>
  <c r="Q23" i="2"/>
  <c r="Q21" i="2"/>
  <c r="R24" i="2"/>
  <c r="R23" i="2"/>
  <c r="R21" i="2"/>
  <c r="I24" i="2"/>
  <c r="I23" i="2"/>
  <c r="I21" i="2"/>
  <c r="J16" i="2"/>
  <c r="J15" i="2"/>
  <c r="J13" i="2"/>
  <c r="J10" i="2"/>
  <c r="J9" i="2"/>
  <c r="J8" i="2"/>
  <c r="J7" i="2"/>
  <c r="J6" i="2"/>
  <c r="J4" i="2"/>
  <c r="J3" i="2"/>
  <c r="J5" i="2" s="1"/>
  <c r="J22" i="2" s="1"/>
  <c r="J18" i="2"/>
  <c r="H16" i="2"/>
  <c r="H15" i="2"/>
  <c r="H13" i="2"/>
  <c r="H10" i="2"/>
  <c r="H9" i="2"/>
  <c r="H8" i="2"/>
  <c r="H7" i="2"/>
  <c r="H6" i="2"/>
  <c r="H4" i="2"/>
  <c r="H3" i="2"/>
  <c r="H18" i="2"/>
  <c r="G18" i="2"/>
  <c r="G11" i="2"/>
  <c r="G5" i="2"/>
  <c r="G22" i="2" s="1"/>
  <c r="I18" i="2"/>
  <c r="I11" i="2"/>
  <c r="I5" i="2"/>
  <c r="I22" i="2" s="1"/>
  <c r="P18" i="2"/>
  <c r="P11" i="2"/>
  <c r="P5" i="2"/>
  <c r="P22" i="2" s="1"/>
  <c r="Q18" i="2"/>
  <c r="Q11" i="2"/>
  <c r="Q5" i="2"/>
  <c r="Q22" i="2" s="1"/>
  <c r="R18" i="2"/>
  <c r="R11" i="2"/>
  <c r="R5" i="2"/>
  <c r="R22" i="2" s="1"/>
  <c r="F3" i="1"/>
  <c r="D7" i="1"/>
  <c r="D6" i="1"/>
  <c r="D8" i="1" s="1"/>
  <c r="AF26" i="2" s="1"/>
  <c r="D4" i="1"/>
  <c r="D5" i="1" s="1"/>
  <c r="D9" i="1" l="1"/>
  <c r="J23" i="2"/>
  <c r="J21" i="2"/>
  <c r="N12" i="2"/>
  <c r="O12" i="2"/>
  <c r="J11" i="2"/>
  <c r="T3" i="2"/>
  <c r="T6" i="2"/>
  <c r="S11" i="2"/>
  <c r="R12" i="2"/>
  <c r="J24" i="2"/>
  <c r="S5" i="2"/>
  <c r="H11" i="2"/>
  <c r="V7" i="2"/>
  <c r="U24" i="2"/>
  <c r="T24" i="2"/>
  <c r="S24" i="2"/>
  <c r="J12" i="2"/>
  <c r="H5" i="2"/>
  <c r="G12" i="2"/>
  <c r="I12" i="2"/>
  <c r="P12" i="2"/>
  <c r="P25" i="2" s="1"/>
  <c r="Q12" i="2"/>
  <c r="O14" i="2" l="1"/>
  <c r="O25" i="2"/>
  <c r="N14" i="2"/>
  <c r="N25" i="2"/>
  <c r="S4" i="2"/>
  <c r="S22" i="2"/>
  <c r="I14" i="2"/>
  <c r="I25" i="2"/>
  <c r="R25" i="2"/>
  <c r="R14" i="2"/>
  <c r="P14" i="2"/>
  <c r="P26" i="2" s="1"/>
  <c r="G14" i="2"/>
  <c r="G25" i="2"/>
  <c r="S12" i="2"/>
  <c r="Q14" i="2"/>
  <c r="Q25" i="2"/>
  <c r="H12" i="2"/>
  <c r="H22" i="2"/>
  <c r="T23" i="2"/>
  <c r="T11" i="2"/>
  <c r="U6" i="2"/>
  <c r="J14" i="2"/>
  <c r="J25" i="2"/>
  <c r="T21" i="2"/>
  <c r="T5" i="2"/>
  <c r="U3" i="2"/>
  <c r="V3" i="2" s="1"/>
  <c r="W3" i="2" s="1"/>
  <c r="X3" i="2" s="1"/>
  <c r="Y3" i="2" s="1"/>
  <c r="Z3" i="2" s="1"/>
  <c r="AA3" i="2" s="1"/>
  <c r="AB3" i="2" s="1"/>
  <c r="AC3" i="2" s="1"/>
  <c r="W7" i="2"/>
  <c r="V24" i="2"/>
  <c r="N17" i="2" l="1"/>
  <c r="N26" i="2"/>
  <c r="O17" i="2"/>
  <c r="O27" i="2" s="1"/>
  <c r="O26" i="2"/>
  <c r="H14" i="2"/>
  <c r="H25" i="2"/>
  <c r="R26" i="2"/>
  <c r="R17" i="2"/>
  <c r="R30" i="2" s="1"/>
  <c r="U21" i="2"/>
  <c r="U5" i="2"/>
  <c r="U22" i="2" s="1"/>
  <c r="T22" i="2"/>
  <c r="T4" i="2"/>
  <c r="Q17" i="2"/>
  <c r="Q30" i="2" s="1"/>
  <c r="Q26" i="2"/>
  <c r="J17" i="2"/>
  <c r="J30" i="2" s="1"/>
  <c r="R41" i="2" s="1"/>
  <c r="J26" i="2"/>
  <c r="S25" i="2"/>
  <c r="S14" i="2"/>
  <c r="I17" i="2"/>
  <c r="I30" i="2" s="1"/>
  <c r="I26" i="2"/>
  <c r="P17" i="2"/>
  <c r="U11" i="2"/>
  <c r="V6" i="2"/>
  <c r="U23" i="2"/>
  <c r="T12" i="2"/>
  <c r="G17" i="2"/>
  <c r="G30" i="2" s="1"/>
  <c r="G26" i="2"/>
  <c r="X7" i="2"/>
  <c r="W24" i="2"/>
  <c r="N19" i="2" l="1"/>
  <c r="N27" i="2"/>
  <c r="P30" i="2"/>
  <c r="P27" i="2"/>
  <c r="O19" i="2"/>
  <c r="U4" i="2"/>
  <c r="U12" i="2"/>
  <c r="U25" i="2" s="1"/>
  <c r="I19" i="2"/>
  <c r="I27" i="2"/>
  <c r="T25" i="2"/>
  <c r="T14" i="2"/>
  <c r="S16" i="2"/>
  <c r="S15" i="2"/>
  <c r="S26" i="2" s="1"/>
  <c r="V5" i="2"/>
  <c r="V21" i="2"/>
  <c r="W6" i="2"/>
  <c r="V11" i="2"/>
  <c r="V23" i="2"/>
  <c r="J19" i="2"/>
  <c r="J27" i="2"/>
  <c r="G19" i="2"/>
  <c r="G27" i="2"/>
  <c r="R19" i="2"/>
  <c r="R27" i="2"/>
  <c r="P19" i="2"/>
  <c r="Q19" i="2"/>
  <c r="Q27" i="2"/>
  <c r="H17" i="2"/>
  <c r="H30" i="2" s="1"/>
  <c r="H26" i="2"/>
  <c r="Y7" i="2"/>
  <c r="X24" i="2"/>
  <c r="U14" i="2" l="1"/>
  <c r="U15" i="2" s="1"/>
  <c r="U26" i="2" s="1"/>
  <c r="W5" i="2"/>
  <c r="W21" i="2"/>
  <c r="V4" i="2"/>
  <c r="V22" i="2"/>
  <c r="S17" i="2"/>
  <c r="S30" i="2" s="1"/>
  <c r="S39" i="2" s="1"/>
  <c r="S41" i="2" s="1"/>
  <c r="H19" i="2"/>
  <c r="H27" i="2"/>
  <c r="T16" i="2"/>
  <c r="T15" i="2"/>
  <c r="T26" i="2" s="1"/>
  <c r="X6" i="2"/>
  <c r="W11" i="2"/>
  <c r="W23" i="2"/>
  <c r="V12" i="2"/>
  <c r="Z7" i="2"/>
  <c r="Y24" i="2"/>
  <c r="U16" i="2" l="1"/>
  <c r="U17" i="2" s="1"/>
  <c r="U30" i="2" s="1"/>
  <c r="U39" i="2" s="1"/>
  <c r="U41" i="2" s="1"/>
  <c r="T17" i="2"/>
  <c r="S19" i="2"/>
  <c r="S27" i="2"/>
  <c r="X21" i="2"/>
  <c r="X5" i="2"/>
  <c r="X22" i="2" s="1"/>
  <c r="Y6" i="2"/>
  <c r="X11" i="2"/>
  <c r="X23" i="2"/>
  <c r="W4" i="2"/>
  <c r="W22" i="2"/>
  <c r="V25" i="2"/>
  <c r="V14" i="2"/>
  <c r="W12" i="2"/>
  <c r="AA7" i="2"/>
  <c r="Z24" i="2"/>
  <c r="T27" i="2" l="1"/>
  <c r="T30" i="2"/>
  <c r="T39" i="2" s="1"/>
  <c r="T41" i="2" s="1"/>
  <c r="T19" i="2"/>
  <c r="U27" i="2"/>
  <c r="U19" i="2"/>
  <c r="X12" i="2"/>
  <c r="X14" i="2" s="1"/>
  <c r="X4" i="2"/>
  <c r="Z6" i="2"/>
  <c r="Y11" i="2"/>
  <c r="Y23" i="2"/>
  <c r="V15" i="2"/>
  <c r="V26" i="2" s="1"/>
  <c r="V16" i="2"/>
  <c r="Y21" i="2"/>
  <c r="Y5" i="2"/>
  <c r="Y22" i="2" s="1"/>
  <c r="Y4" i="2"/>
  <c r="W14" i="2"/>
  <c r="W25" i="2"/>
  <c r="AB7" i="2"/>
  <c r="AA24" i="2"/>
  <c r="Y12" i="2" l="1"/>
  <c r="Y14" i="2" s="1"/>
  <c r="V17" i="2"/>
  <c r="V30" i="2" s="1"/>
  <c r="V39" i="2" s="1"/>
  <c r="V41" i="2" s="1"/>
  <c r="X25" i="2"/>
  <c r="AA6" i="2"/>
  <c r="Z11" i="2"/>
  <c r="Z23" i="2"/>
  <c r="W15" i="2"/>
  <c r="W26" i="2" s="1"/>
  <c r="W16" i="2"/>
  <c r="Z21" i="2"/>
  <c r="Z5" i="2"/>
  <c r="X15" i="2"/>
  <c r="X26" i="2" s="1"/>
  <c r="X16" i="2"/>
  <c r="AC7" i="2"/>
  <c r="AC24" i="2" s="1"/>
  <c r="AB24" i="2"/>
  <c r="Y25" i="2" l="1"/>
  <c r="V27" i="2"/>
  <c r="V19" i="2"/>
  <c r="X17" i="2"/>
  <c r="Z12" i="2"/>
  <c r="Z22" i="2"/>
  <c r="Y16" i="2"/>
  <c r="Y15" i="2"/>
  <c r="Y26" i="2" s="1"/>
  <c r="Z4" i="2"/>
  <c r="AA21" i="2"/>
  <c r="AA5" i="2"/>
  <c r="AA4" i="2" s="1"/>
  <c r="AB6" i="2"/>
  <c r="AA11" i="2"/>
  <c r="AA23" i="2"/>
  <c r="W17" i="2"/>
  <c r="W30" i="2" s="1"/>
  <c r="W39" i="2" s="1"/>
  <c r="W41" i="2" s="1"/>
  <c r="X27" i="2" l="1"/>
  <c r="X30" i="2"/>
  <c r="X39" i="2" s="1"/>
  <c r="X41" i="2" s="1"/>
  <c r="Y17" i="2"/>
  <c r="X19" i="2"/>
  <c r="AB21" i="2"/>
  <c r="AB5" i="2"/>
  <c r="AB22" i="2" s="1"/>
  <c r="W27" i="2"/>
  <c r="W19" i="2"/>
  <c r="AC6" i="2"/>
  <c r="AB11" i="2"/>
  <c r="AB23" i="2"/>
  <c r="AA12" i="2"/>
  <c r="AA22" i="2"/>
  <c r="Z14" i="2"/>
  <c r="Z25" i="2"/>
  <c r="Y27" i="2" l="1"/>
  <c r="Y30" i="2"/>
  <c r="Y39" i="2" s="1"/>
  <c r="Y41" i="2" s="1"/>
  <c r="Y19" i="2"/>
  <c r="AB4" i="2"/>
  <c r="AC5" i="2"/>
  <c r="AC22" i="2" s="1"/>
  <c r="AC21" i="2"/>
  <c r="Z16" i="2"/>
  <c r="Z15" i="2"/>
  <c r="Z26" i="2" s="1"/>
  <c r="AC11" i="2"/>
  <c r="AC23" i="2"/>
  <c r="AA14" i="2"/>
  <c r="AA25" i="2"/>
  <c r="AB12" i="2"/>
  <c r="AA15" i="2" l="1"/>
  <c r="AA26" i="2" s="1"/>
  <c r="AA16" i="2"/>
  <c r="AC4" i="2"/>
  <c r="AC12" i="2"/>
  <c r="Z17" i="2"/>
  <c r="Z30" i="2" s="1"/>
  <c r="Z39" i="2" s="1"/>
  <c r="Z41" i="2" s="1"/>
  <c r="AB14" i="2"/>
  <c r="AB25" i="2"/>
  <c r="Z19" i="2" l="1"/>
  <c r="Z27" i="2"/>
  <c r="AB15" i="2"/>
  <c r="AB26" i="2" s="1"/>
  <c r="AB16" i="2"/>
  <c r="AC25" i="2"/>
  <c r="AC14" i="2"/>
  <c r="AA17" i="2"/>
  <c r="AA30" i="2" s="1"/>
  <c r="AA39" i="2" s="1"/>
  <c r="AA41" i="2" s="1"/>
  <c r="AB17" i="2" l="1"/>
  <c r="AA27" i="2"/>
  <c r="AA19" i="2"/>
  <c r="AC15" i="2"/>
  <c r="AC26" i="2" s="1"/>
  <c r="AC16" i="2"/>
  <c r="AB27" i="2" l="1"/>
  <c r="AB30" i="2"/>
  <c r="AB39" i="2" s="1"/>
  <c r="AB41" i="2" s="1"/>
  <c r="AB19" i="2"/>
  <c r="AC17" i="2"/>
  <c r="AD17" i="2" l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AF25" i="2" s="1"/>
  <c r="AF27" i="2" s="1"/>
  <c r="AF28" i="2" s="1"/>
  <c r="AF30" i="2" s="1"/>
  <c r="AC30" i="2"/>
  <c r="AC39" i="2" s="1"/>
  <c r="AC41" i="2" s="1"/>
  <c r="AD41" i="2" s="1"/>
  <c r="AE41" i="2" s="1"/>
  <c r="AF41" i="2" s="1"/>
  <c r="AG41" i="2" s="1"/>
  <c r="AH41" i="2" s="1"/>
  <c r="AI41" i="2" s="1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BJ41" i="2" s="1"/>
  <c r="BK41" i="2" s="1"/>
  <c r="BL41" i="2" s="1"/>
  <c r="BM41" i="2" s="1"/>
  <c r="BN41" i="2" s="1"/>
  <c r="BO41" i="2" s="1"/>
  <c r="BP41" i="2" s="1"/>
  <c r="BQ41" i="2" s="1"/>
  <c r="BR41" i="2" s="1"/>
  <c r="BS41" i="2" s="1"/>
  <c r="BT41" i="2" s="1"/>
  <c r="BU41" i="2" s="1"/>
  <c r="BV41" i="2" s="1"/>
  <c r="BW41" i="2" s="1"/>
  <c r="BX41" i="2" s="1"/>
  <c r="BY41" i="2" s="1"/>
  <c r="BZ41" i="2" s="1"/>
  <c r="CA41" i="2" s="1"/>
  <c r="CB41" i="2" s="1"/>
  <c r="CC41" i="2" s="1"/>
  <c r="CD41" i="2" s="1"/>
  <c r="CE41" i="2" s="1"/>
  <c r="CF41" i="2" s="1"/>
  <c r="CG41" i="2" s="1"/>
  <c r="CH41" i="2" s="1"/>
  <c r="CI41" i="2" s="1"/>
  <c r="CJ41" i="2" s="1"/>
  <c r="CK41" i="2" s="1"/>
  <c r="CL41" i="2" s="1"/>
  <c r="CM41" i="2" s="1"/>
  <c r="CN41" i="2" s="1"/>
  <c r="CO41" i="2" s="1"/>
  <c r="CP41" i="2" s="1"/>
  <c r="CQ41" i="2" s="1"/>
  <c r="CR41" i="2" s="1"/>
  <c r="CS41" i="2" s="1"/>
  <c r="CT41" i="2" s="1"/>
  <c r="CU41" i="2" s="1"/>
  <c r="CV41" i="2" s="1"/>
  <c r="CW41" i="2" s="1"/>
  <c r="CX41" i="2" s="1"/>
  <c r="CY41" i="2" s="1"/>
  <c r="CZ41" i="2" s="1"/>
  <c r="DA41" i="2" s="1"/>
  <c r="DB41" i="2" s="1"/>
  <c r="DC41" i="2" s="1"/>
  <c r="DD41" i="2" s="1"/>
  <c r="DE41" i="2" s="1"/>
  <c r="DF41" i="2" s="1"/>
  <c r="DG41" i="2" s="1"/>
  <c r="DH41" i="2" s="1"/>
  <c r="DI41" i="2" s="1"/>
  <c r="DJ41" i="2" s="1"/>
  <c r="DK41" i="2" s="1"/>
  <c r="DL41" i="2" s="1"/>
  <c r="DM41" i="2" s="1"/>
  <c r="DN41" i="2" s="1"/>
  <c r="DO41" i="2" s="1"/>
  <c r="DP41" i="2" s="1"/>
  <c r="DQ41" i="2" s="1"/>
  <c r="DR41" i="2" s="1"/>
  <c r="DS41" i="2" s="1"/>
  <c r="DT41" i="2" s="1"/>
  <c r="DU41" i="2" s="1"/>
  <c r="DV41" i="2" s="1"/>
  <c r="DW41" i="2" s="1"/>
  <c r="DX41" i="2" s="1"/>
  <c r="DY41" i="2" s="1"/>
  <c r="DZ41" i="2" s="1"/>
  <c r="EA41" i="2" s="1"/>
  <c r="EB41" i="2" s="1"/>
  <c r="EC41" i="2" s="1"/>
  <c r="ED41" i="2" s="1"/>
  <c r="EE41" i="2" s="1"/>
  <c r="EF41" i="2" s="1"/>
  <c r="EG41" i="2" s="1"/>
  <c r="EH41" i="2" s="1"/>
  <c r="EI41" i="2" s="1"/>
  <c r="EJ41" i="2" s="1"/>
  <c r="AF44" i="2" s="1"/>
  <c r="AF46" i="2" s="1"/>
  <c r="AF47" i="2" s="1"/>
  <c r="AF49" i="2" s="1"/>
  <c r="AC19" i="2"/>
  <c r="AC27" i="2"/>
</calcChain>
</file>

<file path=xl/sharedStrings.xml><?xml version="1.0" encoding="utf-8"?>
<sst xmlns="http://schemas.openxmlformats.org/spreadsheetml/2006/main" count="88" uniqueCount="82">
  <si>
    <t>STLA</t>
  </si>
  <si>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</si>
  <si>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</si>
  <si>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</si>
  <si>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</si>
  <si>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</si>
  <si>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</si>
  <si>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</si>
  <si>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</si>
  <si>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</si>
  <si>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</si>
  <si>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Revenue</t>
  </si>
  <si>
    <t>Cost of sales</t>
  </si>
  <si>
    <t>Gross profit</t>
  </si>
  <si>
    <t>H224</t>
  </si>
  <si>
    <t>R&amp;D</t>
  </si>
  <si>
    <t>SG&amp;A</t>
  </si>
  <si>
    <t>Gain on disposal</t>
  </si>
  <si>
    <t>Restructuring</t>
  </si>
  <si>
    <t>Gain on investments</t>
  </si>
  <si>
    <t>Total operating expenses</t>
  </si>
  <si>
    <t>Net finance expense</t>
  </si>
  <si>
    <t>Pretax profit</t>
  </si>
  <si>
    <t>Taxes</t>
  </si>
  <si>
    <t>MI</t>
  </si>
  <si>
    <t>Net profit</t>
  </si>
  <si>
    <t>EPS</t>
  </si>
  <si>
    <t>H121</t>
  </si>
  <si>
    <t>H221</t>
  </si>
  <si>
    <t>H122</t>
  </si>
  <si>
    <t>H222</t>
  </si>
  <si>
    <t>H123</t>
  </si>
  <si>
    <t>H223</t>
  </si>
  <si>
    <t>H124</t>
  </si>
  <si>
    <t>H125</t>
  </si>
  <si>
    <t>H225</t>
  </si>
  <si>
    <t>Operating profit</t>
  </si>
  <si>
    <t>Revenue y/y</t>
  </si>
  <si>
    <t>Gross Margin</t>
  </si>
  <si>
    <t>SG&amp;A y/y</t>
  </si>
  <si>
    <t>R&amp;D y/y</t>
  </si>
  <si>
    <t>Operating Margin</t>
  </si>
  <si>
    <t>Net Margin</t>
  </si>
  <si>
    <t>Maturity</t>
  </si>
  <si>
    <t>Discount rate</t>
  </si>
  <si>
    <t>NPV</t>
  </si>
  <si>
    <t>Value</t>
  </si>
  <si>
    <t>Per share</t>
  </si>
  <si>
    <t>Current price</t>
  </si>
  <si>
    <t>Net cash</t>
  </si>
  <si>
    <t>Variance</t>
  </si>
  <si>
    <t>Consensus</t>
  </si>
  <si>
    <t>Heavily undervalued</t>
  </si>
  <si>
    <t>D&amp;A</t>
  </si>
  <si>
    <t>Disposals</t>
  </si>
  <si>
    <t>D/T</t>
  </si>
  <si>
    <t>Other non-cash</t>
  </si>
  <si>
    <t>Provisions</t>
  </si>
  <si>
    <t>Investments</t>
  </si>
  <si>
    <t>Leases</t>
  </si>
  <si>
    <t>Working capital</t>
  </si>
  <si>
    <t>CFFO</t>
  </si>
  <si>
    <t>PP&amp;E</t>
  </si>
  <si>
    <t>FCF</t>
  </si>
  <si>
    <t>Fiat S.p.A. was founded on July 11, 1899, in Turin, Italy.</t>
  </si>
  <si>
    <t>In 2009, FCA US (formerly Chrysler Group LLC) acquired the main assets of Chrysler</t>
  </si>
  <si>
    <t>during a government-led restructuring of the U.S. auto industry.</t>
  </si>
  <si>
    <t>Between 2009 and 2014, Fiat expanded its Chrysler ownership to 100%.</t>
  </si>
  <si>
    <t>On October 12, 2014, Fiat reorganized into Fiat Chrysler Automobiles (FCA), headquartered in the UK.</t>
  </si>
  <si>
    <t>Fiat separated its non-automotive businesses in 2011 into Fiat Industrial, now CNH Industrial.</t>
  </si>
  <si>
    <t>In 2015, Ferrari completed its IPO, followed by a spin-off in 2016.</t>
  </si>
  <si>
    <t>Peugeot S.A. began vehicle production in 1896.</t>
  </si>
  <si>
    <t>In 1976, PSA acquired Citroën, and in 1978, it acquired Chrysler's European operations.</t>
  </si>
  <si>
    <t>PSA Finance Holding became Banque PSA Finance in 1995.</t>
  </si>
  <si>
    <t>In 2021, Stellantis distributed PSA’s 39% stake in Faurecia to its shareholders.</t>
  </si>
  <si>
    <t>On December 17, 2019, FCA and PSA agreed to merge.</t>
  </si>
  <si>
    <t>The merger completed on January 16, 2021, with FCA as the surviving entity.</t>
  </si>
  <si>
    <t>On January 17, 2021, the combined company was renamed Stellantis.</t>
  </si>
  <si>
    <r>
      <t xml:space="preserve">The company grew organically and through acquisitions, including </t>
    </r>
    <r>
      <rPr>
        <b/>
        <sz val="11"/>
        <color theme="0"/>
        <rFont val="Calibri"/>
        <family val="2"/>
        <scheme val="minor"/>
      </rPr>
      <t>Lancia, Alfa Romeo, Maserati,</t>
    </r>
    <r>
      <rPr>
        <sz val="11"/>
        <color theme="0"/>
        <rFont val="Calibri"/>
        <family val="2"/>
        <scheme val="minor"/>
      </rPr>
      <t xml:space="preserve"> and Ferrari.</t>
    </r>
  </si>
  <si>
    <r>
      <t xml:space="preserve">In 2017, PSA acquired </t>
    </r>
    <r>
      <rPr>
        <b/>
        <sz val="11"/>
        <color theme="0"/>
        <rFont val="Calibri"/>
        <family val="2"/>
        <scheme val="minor"/>
      </rPr>
      <t>Opel and Vauxhall</t>
    </r>
    <r>
      <rPr>
        <sz val="11"/>
        <color theme="0"/>
        <rFont val="Calibri"/>
        <family val="2"/>
        <scheme val="minor"/>
      </rPr>
      <t xml:space="preserve"> from General Motors.</t>
    </r>
  </si>
  <si>
    <t>Jeep</t>
  </si>
  <si>
    <t>Alfa 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</si>
</sst>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#,##0.00\ [$€-484]"/>
    <numFmt numFmtId="165" formatCode="#,##0.00\ [$€-42D]"/>
    <numFmt numFmtId="167" formatCode="#,##0.00\ [$€-1]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164" fontId="2" fillId="2" borderId="1" xfId="0" applyNumberFormat="1" applyFont="1" applyFill="1" applyBorder="1"/>
    <xf numFmtId="3" fontId="2" fillId="2" borderId="1" xfId="0" applyNumberFormat="1" applyFont="1" applyFill="1" applyBorder="1"/>
    <xf numFmtId="0" fontId="3" fillId="2" borderId="1" xfId="0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2" fontId="2" fillId="2" borderId="1" xfId="0" applyNumberFormat="1" applyFont="1" applyFill="1" applyBorder="1"/>
    <xf numFmtId="3" fontId="1" fillId="2" borderId="1" xfId="0" applyNumberFormat="1" applyFont="1" applyFill="1" applyBorder="1"/>
    <xf numFmtId="9" fontId="2" fillId="2" borderId="1" xfId="0" applyNumberFormat="1" applyFont="1" applyFill="1" applyBorder="1"/>
    <xf numFmtId="165" fontId="2" fillId="2" borderId="1" xfId="0" applyNumberFormat="1" applyFont="1" applyFill="1" applyBorder="1"/>
    <xf numFmtId="9" fontId="1" fillId="2" borderId="1" xfId="0" applyNumberFormat="1" applyFont="1" applyFill="1" applyBorder="1"/>
    <xf numFmtId="0" fontId="2" fillId="3" borderId="0" xfId="0" applyFont="1" applyFill="1"/>
    <xf numFmtId="0" fontId="1" fillId="3" borderId="0" xfId="0" applyFont="1" applyFill="1"/>
    <xf numFmtId="8" fontId="2" fillId="2" borderId="1" xfId="0" applyNumberFormat="1" applyFont="1" applyFill="1" applyBorder="1"/>
    <xf numFmtId="167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0</xdr:row>
      <xdr:rowOff>0</xdr:rowOff>
    </xdr:from>
    <xdr:to>
      <xdr:col>10</xdr:col>
      <xdr:colOff>22860</xdr:colOff>
      <xdr:row>49</xdr:row>
      <xdr:rowOff>106680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88FC5A4-8564-937C-7D8A-902C87E62760}"/>
            </a:ext>
          </a:extLst>
        </xdr:cNvPr>
        <xdr:cNvCxnSpPr/>
      </xdr:nvCxnSpPr>
      <xdr:spPr>
        <a:xfrm>
          <a:off x="6995160" y="0"/>
          <a:ext cx="0" cy="906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</xdr:colOff>
      <xdr:row>0</xdr:row>
      <xdr:rowOff>7620</xdr:rowOff>
    </xdr:from>
    <xdr:to>
      <xdr:col>18</xdr:col>
      <xdr:colOff>30480</xdr:colOff>
      <xdr:row>49</xdr:row>
      <xdr:rowOff>106680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EA600EF-F614-6102-9132-956498A30529}"/>
            </a:ext>
          </a:extLst>
        </xdr:cNvPr>
        <xdr:cNvCxnSpPr/>
      </xdr:nvCxnSpPr>
      <xdr:spPr>
        <a:xfrm>
          <a:off x="13098780" y="7620"/>
          <a:ext cx="0" cy="9060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5B53-6D51-47B4-A3B1-097E9F99F7BA}">
  <dimension ref="B2:L29"/>
  <sheetViews>
    <sheetView workbookViewId="0">
      <selection activeCell="L5" sqref="L5"/>
    </sheetView>
  </sheetViews>
  <sheetFormatPr defaultRowHeight="14.4" x14ac:dyDescent="0.3"/>
  <cols>
    <col min="1" max="4" width="8.88671875" style="1"/>
    <col min="5" max="7" width="13.5546875" style="5" customWidth="1"/>
    <col min="8" max="16384" width="8.88671875" style="1"/>
  </cols>
  <sheetData>
    <row r="2" spans="2:12" x14ac:dyDescent="0.3">
      <c r="E2" s="5" t="s">
        <v>8</v>
      </c>
      <c r="F2" s="5" t="s">
        <v>9</v>
      </c>
      <c r="G2" s="5" t="s">
        <v>10</v>
      </c>
    </row>
    <row r="3" spans="2:12" x14ac:dyDescent="0.3">
      <c r="B3" s="2" t="s">
        <v>0</v>
      </c>
      <c r="C3" s="1" t="s">
        <v>1</v>
      </c>
      <c r="D3" s="3">
        <v>8</v>
      </c>
      <c r="E3" s="6">
        <v>45771</v>
      </c>
      <c r="F3" s="6">
        <f ca="1">TODAY()</f>
        <v>45779</v>
      </c>
      <c r="G3" s="6">
        <v>45777</v>
      </c>
      <c r="L3" s="1" t="s">
        <v>80</v>
      </c>
    </row>
    <row r="4" spans="2:12" x14ac:dyDescent="0.3">
      <c r="C4" s="1" t="s">
        <v>2</v>
      </c>
      <c r="D4" s="4">
        <f>2896.1+866.5</f>
        <v>3762.6</v>
      </c>
      <c r="E4" s="5" t="s">
        <v>14</v>
      </c>
      <c r="L4" s="1" t="s">
        <v>81</v>
      </c>
    </row>
    <row r="5" spans="2:12" x14ac:dyDescent="0.3">
      <c r="C5" s="1" t="s">
        <v>3</v>
      </c>
      <c r="D5" s="4">
        <f>D3*D4</f>
        <v>30100.799999999999</v>
      </c>
    </row>
    <row r="6" spans="2:12" x14ac:dyDescent="0.3">
      <c r="C6" s="1" t="s">
        <v>4</v>
      </c>
      <c r="D6" s="4">
        <f>34100</f>
        <v>34100</v>
      </c>
      <c r="E6" s="5" t="s">
        <v>14</v>
      </c>
    </row>
    <row r="7" spans="2:12" x14ac:dyDescent="0.3">
      <c r="C7" s="1" t="s">
        <v>5</v>
      </c>
      <c r="D7" s="4">
        <f>12199+25028</f>
        <v>37227</v>
      </c>
      <c r="E7" s="5" t="s">
        <v>14</v>
      </c>
    </row>
    <row r="8" spans="2:12" x14ac:dyDescent="0.3">
      <c r="C8" s="1" t="s">
        <v>6</v>
      </c>
      <c r="D8" s="4">
        <f>D6-D7</f>
        <v>-3127</v>
      </c>
      <c r="J8" s="13"/>
    </row>
    <row r="9" spans="2:12" x14ac:dyDescent="0.3">
      <c r="C9" s="1" t="s">
        <v>7</v>
      </c>
      <c r="D9" s="4">
        <f>D5-D8</f>
        <v>33227.800000000003</v>
      </c>
    </row>
    <row r="13" spans="2:12" x14ac:dyDescent="0.3">
      <c r="B13" s="14" t="s">
        <v>64</v>
      </c>
    </row>
    <row r="14" spans="2:12" x14ac:dyDescent="0.3">
      <c r="B14" s="13" t="s">
        <v>78</v>
      </c>
    </row>
    <row r="15" spans="2:12" x14ac:dyDescent="0.3">
      <c r="B15" s="14" t="s">
        <v>65</v>
      </c>
    </row>
    <row r="16" spans="2:12" x14ac:dyDescent="0.3">
      <c r="B16" s="13" t="s">
        <v>66</v>
      </c>
    </row>
    <row r="17" spans="2:2" x14ac:dyDescent="0.3">
      <c r="B17" s="13" t="s">
        <v>67</v>
      </c>
    </row>
    <row r="18" spans="2:2" x14ac:dyDescent="0.3">
      <c r="B18" s="13" t="s">
        <v>68</v>
      </c>
    </row>
    <row r="19" spans="2:2" x14ac:dyDescent="0.3">
      <c r="B19" s="13" t="s">
        <v>69</v>
      </c>
    </row>
    <row r="20" spans="2:2" x14ac:dyDescent="0.3">
      <c r="B20" s="13" t="s">
        <v>70</v>
      </c>
    </row>
    <row r="21" spans="2:2" x14ac:dyDescent="0.3">
      <c r="B21" s="14" t="s">
        <v>71</v>
      </c>
    </row>
    <row r="22" spans="2:2" x14ac:dyDescent="0.3">
      <c r="B22" s="13" t="s">
        <v>72</v>
      </c>
    </row>
    <row r="23" spans="2:2" x14ac:dyDescent="0.3">
      <c r="B23" s="13" t="s">
        <v>73</v>
      </c>
    </row>
    <row r="24" spans="2:2" x14ac:dyDescent="0.3">
      <c r="B24" s="13" t="s">
        <v>79</v>
      </c>
    </row>
    <row r="25" spans="2:2" x14ac:dyDescent="0.3">
      <c r="B25" s="13" t="s">
        <v>74</v>
      </c>
    </row>
    <row r="26" spans="2:2" x14ac:dyDescent="0.3">
      <c r="B26" s="13" t="s">
        <v>75</v>
      </c>
    </row>
    <row r="27" spans="2:2" x14ac:dyDescent="0.3">
      <c r="B27" s="13" t="s">
        <v>76</v>
      </c>
    </row>
    <row r="28" spans="2:2" x14ac:dyDescent="0.3">
      <c r="B28" s="13" t="s">
        <v>77</v>
      </c>
    </row>
    <row r="29" spans="2:2" x14ac:dyDescent="0.3">
      <c r="B2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7D57-48CF-44A3-8DFD-044512D5B18E}">
  <dimension ref="B2:EM49"/>
  <sheetViews>
    <sheetView tabSelected="1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S3" sqref="S3"/>
    </sheetView>
  </sheetViews>
  <sheetFormatPr defaultRowHeight="14.4" x14ac:dyDescent="0.3"/>
  <cols>
    <col min="1" max="1" width="8.88671875" style="1"/>
    <col min="2" max="2" width="21.6640625" style="1" bestFit="1" customWidth="1"/>
    <col min="3" max="30" width="8.88671875" style="1"/>
    <col min="31" max="31" width="11.88671875" style="1" bestFit="1" customWidth="1"/>
    <col min="32" max="32" width="17.5546875" style="1" bestFit="1" customWidth="1"/>
    <col min="33" max="16384" width="8.88671875" style="1"/>
  </cols>
  <sheetData>
    <row r="2" spans="2:29" x14ac:dyDescent="0.3"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14</v>
      </c>
      <c r="K2" s="7" t="s">
        <v>34</v>
      </c>
      <c r="L2" s="7" t="s">
        <v>35</v>
      </c>
      <c r="N2" s="1">
        <v>2020</v>
      </c>
      <c r="O2" s="1">
        <v>2021</v>
      </c>
      <c r="P2" s="1">
        <v>2022</v>
      </c>
      <c r="Q2" s="1">
        <v>2023</v>
      </c>
      <c r="R2" s="1">
        <v>2024</v>
      </c>
      <c r="S2" s="1">
        <v>2025</v>
      </c>
      <c r="T2" s="1">
        <v>2026</v>
      </c>
      <c r="U2" s="1">
        <v>2027</v>
      </c>
      <c r="V2" s="1">
        <v>2028</v>
      </c>
      <c r="W2" s="1">
        <v>2029</v>
      </c>
      <c r="X2" s="1">
        <v>2030</v>
      </c>
      <c r="Y2" s="1">
        <v>2031</v>
      </c>
      <c r="Z2" s="1">
        <v>2032</v>
      </c>
      <c r="AA2" s="1">
        <v>2033</v>
      </c>
      <c r="AB2" s="1">
        <v>2034</v>
      </c>
      <c r="AC2" s="1">
        <v>2035</v>
      </c>
    </row>
    <row r="3" spans="2:29" s="2" customFormat="1" x14ac:dyDescent="0.3">
      <c r="B3" s="2" t="s">
        <v>11</v>
      </c>
      <c r="G3" s="9">
        <v>98368</v>
      </c>
      <c r="H3" s="9">
        <f>Q3-G3</f>
        <v>91176</v>
      </c>
      <c r="I3" s="9">
        <v>85017</v>
      </c>
      <c r="J3" s="9">
        <f>R3-I3</f>
        <v>71861</v>
      </c>
      <c r="N3" s="9">
        <v>133882</v>
      </c>
      <c r="O3" s="9">
        <v>152119</v>
      </c>
      <c r="P3" s="9">
        <v>179592</v>
      </c>
      <c r="Q3" s="9">
        <v>189544</v>
      </c>
      <c r="R3" s="9">
        <v>156878</v>
      </c>
      <c r="S3" s="9">
        <f>R3*0.7</f>
        <v>109814.59999999999</v>
      </c>
      <c r="T3" s="9">
        <f>S3*1.03</f>
        <v>113109.038</v>
      </c>
      <c r="U3" s="9">
        <f>T3*1.02</f>
        <v>115371.21876</v>
      </c>
      <c r="V3" s="9">
        <f>U3*1.01</f>
        <v>116524.93094760001</v>
      </c>
      <c r="W3" s="9">
        <f t="shared" ref="W3:AC3" si="0">V3*1.01</f>
        <v>117690.180257076</v>
      </c>
      <c r="X3" s="9">
        <f t="shared" si="0"/>
        <v>118867.08205964677</v>
      </c>
      <c r="Y3" s="9">
        <f t="shared" si="0"/>
        <v>120055.75288024324</v>
      </c>
      <c r="Z3" s="9">
        <f t="shared" si="0"/>
        <v>121256.31040904566</v>
      </c>
      <c r="AA3" s="9">
        <f t="shared" si="0"/>
        <v>122468.87351313612</v>
      </c>
      <c r="AB3" s="9">
        <f t="shared" si="0"/>
        <v>123693.56224826748</v>
      </c>
      <c r="AC3" s="9">
        <f t="shared" si="0"/>
        <v>124930.49787075016</v>
      </c>
    </row>
    <row r="4" spans="2:29" x14ac:dyDescent="0.3">
      <c r="B4" s="1" t="s">
        <v>12</v>
      </c>
      <c r="G4" s="4">
        <v>76934</v>
      </c>
      <c r="H4" s="4">
        <f>Q4-G4</f>
        <v>74466</v>
      </c>
      <c r="I4" s="4">
        <v>69818</v>
      </c>
      <c r="J4" s="4">
        <f>R4-I4</f>
        <v>66542</v>
      </c>
      <c r="N4" s="4">
        <v>112187</v>
      </c>
      <c r="O4" s="4">
        <v>122207</v>
      </c>
      <c r="P4" s="4">
        <v>144327</v>
      </c>
      <c r="Q4" s="4">
        <v>151400</v>
      </c>
      <c r="R4" s="4">
        <v>136360</v>
      </c>
      <c r="S4" s="4">
        <f>S3-S5</f>
        <v>93342.409999999989</v>
      </c>
      <c r="T4" s="4">
        <f t="shared" ref="T4:AC4" si="1">T3-T5</f>
        <v>93880.501539999997</v>
      </c>
      <c r="U4" s="4">
        <f t="shared" si="1"/>
        <v>93450.68719560001</v>
      </c>
      <c r="V4" s="4">
        <f t="shared" si="1"/>
        <v>93219.944758080004</v>
      </c>
      <c r="W4" s="4">
        <f t="shared" si="1"/>
        <v>94152.144205660807</v>
      </c>
      <c r="X4" s="4">
        <f t="shared" si="1"/>
        <v>95093.665647717411</v>
      </c>
      <c r="Y4" s="4">
        <f t="shared" si="1"/>
        <v>96044.602304194588</v>
      </c>
      <c r="Z4" s="4">
        <f t="shared" si="1"/>
        <v>97005.048327236524</v>
      </c>
      <c r="AA4" s="4">
        <f t="shared" si="1"/>
        <v>97975.098810508891</v>
      </c>
      <c r="AB4" s="4">
        <f t="shared" si="1"/>
        <v>98954.849798613985</v>
      </c>
      <c r="AC4" s="4">
        <f t="shared" si="1"/>
        <v>99944.39829660012</v>
      </c>
    </row>
    <row r="5" spans="2:29" s="2" customFormat="1" x14ac:dyDescent="0.3">
      <c r="B5" s="2" t="s">
        <v>13</v>
      </c>
      <c r="G5" s="9">
        <f>G3-G4</f>
        <v>21434</v>
      </c>
      <c r="H5" s="9">
        <f>H3-H4</f>
        <v>16710</v>
      </c>
      <c r="I5" s="9">
        <f>I3-I4</f>
        <v>15199</v>
      </c>
      <c r="J5" s="9">
        <f>J3-J4</f>
        <v>5319</v>
      </c>
      <c r="N5" s="9">
        <f>N3-N4</f>
        <v>21695</v>
      </c>
      <c r="O5" s="9">
        <f>O3-O4</f>
        <v>29912</v>
      </c>
      <c r="P5" s="9">
        <f>P3-P4</f>
        <v>35265</v>
      </c>
      <c r="Q5" s="9">
        <f>Q3-Q4</f>
        <v>38144</v>
      </c>
      <c r="R5" s="9">
        <f>R3-R4</f>
        <v>20518</v>
      </c>
      <c r="S5" s="9">
        <f>S3*0.15</f>
        <v>16472.189999999999</v>
      </c>
      <c r="T5" s="9">
        <f>T3*0.17</f>
        <v>19228.536460000003</v>
      </c>
      <c r="U5" s="9">
        <f>U3*0.19</f>
        <v>21920.5315644</v>
      </c>
      <c r="V5" s="9">
        <f>V3*0.2</f>
        <v>23304.986189520001</v>
      </c>
      <c r="W5" s="9">
        <f t="shared" ref="W5:AC5" si="2">W3*0.2</f>
        <v>23538.036051415202</v>
      </c>
      <c r="X5" s="9">
        <f t="shared" si="2"/>
        <v>23773.416411929356</v>
      </c>
      <c r="Y5" s="9">
        <f t="shared" si="2"/>
        <v>24011.150576048647</v>
      </c>
      <c r="Z5" s="9">
        <f t="shared" si="2"/>
        <v>24251.262081809135</v>
      </c>
      <c r="AA5" s="9">
        <f t="shared" si="2"/>
        <v>24493.774702627226</v>
      </c>
      <c r="AB5" s="9">
        <f t="shared" si="2"/>
        <v>24738.712449653496</v>
      </c>
      <c r="AC5" s="9">
        <f t="shared" si="2"/>
        <v>24986.099574150034</v>
      </c>
    </row>
    <row r="6" spans="2:29" x14ac:dyDescent="0.3">
      <c r="B6" s="1" t="s">
        <v>16</v>
      </c>
      <c r="G6" s="4">
        <v>4921</v>
      </c>
      <c r="H6" s="4">
        <f>Q6-G6</f>
        <v>4620</v>
      </c>
      <c r="I6" s="4">
        <v>4564</v>
      </c>
      <c r="J6" s="4">
        <f>R6-I6</f>
        <v>4735</v>
      </c>
      <c r="N6" s="4">
        <v>9397</v>
      </c>
      <c r="O6" s="4">
        <v>9320</v>
      </c>
      <c r="P6" s="4">
        <v>8981</v>
      </c>
      <c r="Q6" s="4">
        <v>9541</v>
      </c>
      <c r="R6" s="4">
        <v>9299</v>
      </c>
      <c r="S6" s="4">
        <f>R6*0.95</f>
        <v>8834.0499999999993</v>
      </c>
      <c r="T6" s="4">
        <f>S6*1.02</f>
        <v>9010.7309999999998</v>
      </c>
      <c r="U6" s="4">
        <f>T6*1.01</f>
        <v>9100.8383099999992</v>
      </c>
      <c r="V6" s="4">
        <f t="shared" ref="V6:AC6" si="3">U6*1.01</f>
        <v>9191.8466930999984</v>
      </c>
      <c r="W6" s="4">
        <f t="shared" si="3"/>
        <v>9283.7651600309982</v>
      </c>
      <c r="X6" s="4">
        <f t="shared" si="3"/>
        <v>9376.6028116313082</v>
      </c>
      <c r="Y6" s="4">
        <f t="shared" si="3"/>
        <v>9470.3688397476217</v>
      </c>
      <c r="Z6" s="4">
        <f t="shared" si="3"/>
        <v>9565.0725281450977</v>
      </c>
      <c r="AA6" s="4">
        <f t="shared" si="3"/>
        <v>9660.7232534265495</v>
      </c>
      <c r="AB6" s="4">
        <f t="shared" si="3"/>
        <v>9757.3304859608143</v>
      </c>
      <c r="AC6" s="4">
        <f t="shared" si="3"/>
        <v>9854.9037908204227</v>
      </c>
    </row>
    <row r="7" spans="2:29" x14ac:dyDescent="0.3">
      <c r="B7" s="1" t="s">
        <v>15</v>
      </c>
      <c r="G7" s="4">
        <v>2735</v>
      </c>
      <c r="H7" s="4">
        <f>Q7-G7</f>
        <v>2884</v>
      </c>
      <c r="I7" s="4">
        <v>2819</v>
      </c>
      <c r="J7" s="4">
        <f>R7-I7</f>
        <v>2965</v>
      </c>
      <c r="N7" s="4">
        <v>4551</v>
      </c>
      <c r="O7" s="4">
        <v>4560</v>
      </c>
      <c r="P7" s="4">
        <v>5200</v>
      </c>
      <c r="Q7" s="4">
        <v>5619</v>
      </c>
      <c r="R7" s="4">
        <v>5784</v>
      </c>
      <c r="S7" s="4">
        <f>R7*1.01</f>
        <v>5841.84</v>
      </c>
      <c r="T7" s="4">
        <f t="shared" ref="T7:AC7" si="4">S7*1.01</f>
        <v>5900.2584000000006</v>
      </c>
      <c r="U7" s="4">
        <f t="shared" si="4"/>
        <v>5959.2609840000005</v>
      </c>
      <c r="V7" s="4">
        <f t="shared" si="4"/>
        <v>6018.8535938400009</v>
      </c>
      <c r="W7" s="4">
        <f t="shared" si="4"/>
        <v>6079.0421297784014</v>
      </c>
      <c r="X7" s="4">
        <f t="shared" si="4"/>
        <v>6139.8325510761852</v>
      </c>
      <c r="Y7" s="4">
        <f t="shared" si="4"/>
        <v>6201.2308765869475</v>
      </c>
      <c r="Z7" s="4">
        <f t="shared" si="4"/>
        <v>6263.2431853528169</v>
      </c>
      <c r="AA7" s="4">
        <f t="shared" si="4"/>
        <v>6325.8756172063449</v>
      </c>
      <c r="AB7" s="4">
        <f t="shared" si="4"/>
        <v>6389.1343733784088</v>
      </c>
      <c r="AC7" s="4">
        <f t="shared" si="4"/>
        <v>6453.025717112193</v>
      </c>
    </row>
    <row r="8" spans="2:29" x14ac:dyDescent="0.3">
      <c r="B8" s="1" t="s">
        <v>17</v>
      </c>
      <c r="G8" s="4">
        <v>-22</v>
      </c>
      <c r="H8" s="4">
        <f>Q8-G8</f>
        <v>2</v>
      </c>
      <c r="I8" s="4">
        <v>46</v>
      </c>
      <c r="J8" s="4">
        <f>R8-I8</f>
        <v>52</v>
      </c>
      <c r="N8" s="4">
        <v>-178</v>
      </c>
      <c r="O8" s="4">
        <v>35</v>
      </c>
      <c r="P8" s="4">
        <v>-72</v>
      </c>
      <c r="Q8" s="4">
        <v>-20</v>
      </c>
      <c r="R8" s="4">
        <v>98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2:29" x14ac:dyDescent="0.3">
      <c r="B9" s="1" t="s">
        <v>18</v>
      </c>
      <c r="G9" s="4">
        <v>552</v>
      </c>
      <c r="H9" s="4">
        <f>Q9-G9</f>
        <v>567</v>
      </c>
      <c r="I9" s="4">
        <v>1212</v>
      </c>
      <c r="J9" s="4">
        <f>R9-I9</f>
        <v>405</v>
      </c>
      <c r="N9" s="4">
        <v>489</v>
      </c>
      <c r="O9" s="4">
        <v>698</v>
      </c>
      <c r="P9" s="4">
        <v>1144</v>
      </c>
      <c r="Q9" s="4">
        <v>1119</v>
      </c>
      <c r="R9" s="4">
        <v>1617</v>
      </c>
      <c r="S9" s="4">
        <f>R9*1.2</f>
        <v>1940.3999999999999</v>
      </c>
      <c r="T9" s="4">
        <f>S9*0.8</f>
        <v>1552.32</v>
      </c>
      <c r="U9" s="4">
        <f t="shared" ref="U9:AC9" si="5">T9*0.8</f>
        <v>1241.856</v>
      </c>
      <c r="V9" s="4">
        <f t="shared" si="5"/>
        <v>993.48480000000006</v>
      </c>
      <c r="W9" s="4">
        <f t="shared" si="5"/>
        <v>794.78784000000007</v>
      </c>
      <c r="X9" s="4">
        <f t="shared" si="5"/>
        <v>635.83027200000015</v>
      </c>
      <c r="Y9" s="4">
        <f t="shared" si="5"/>
        <v>508.66421760000014</v>
      </c>
      <c r="Z9" s="4">
        <f t="shared" si="5"/>
        <v>406.93137408000013</v>
      </c>
      <c r="AA9" s="4">
        <f t="shared" si="5"/>
        <v>325.5450992640001</v>
      </c>
      <c r="AB9" s="4">
        <f t="shared" si="5"/>
        <v>260.43607941120007</v>
      </c>
      <c r="AC9" s="4">
        <f t="shared" si="5"/>
        <v>208.34886352896007</v>
      </c>
    </row>
    <row r="10" spans="2:29" x14ac:dyDescent="0.3">
      <c r="B10" s="1" t="s">
        <v>19</v>
      </c>
      <c r="G10" s="4">
        <v>-293</v>
      </c>
      <c r="H10" s="4">
        <f>Q10-G10</f>
        <v>-198</v>
      </c>
      <c r="I10" s="4">
        <v>-81</v>
      </c>
      <c r="J10" s="4">
        <f>R10-I10</f>
        <v>114</v>
      </c>
      <c r="N10" s="4">
        <v>0</v>
      </c>
      <c r="O10" s="4">
        <v>0</v>
      </c>
      <c r="P10" s="4">
        <v>-264</v>
      </c>
      <c r="Q10" s="4">
        <v>-491</v>
      </c>
      <c r="R10" s="4">
        <v>33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2:29" x14ac:dyDescent="0.3">
      <c r="B11" s="1" t="s">
        <v>20</v>
      </c>
      <c r="G11" s="4">
        <f>SUM(G6:G10)</f>
        <v>7893</v>
      </c>
      <c r="H11" s="4">
        <f>SUM(H6:H10)</f>
        <v>7875</v>
      </c>
      <c r="I11" s="4">
        <f>SUM(I6:I10)</f>
        <v>8560</v>
      </c>
      <c r="J11" s="4">
        <f>SUM(J6:J10)</f>
        <v>8271</v>
      </c>
      <c r="N11" s="4">
        <f t="shared" ref="N11:S11" si="6">SUM(N6:N10)</f>
        <v>14259</v>
      </c>
      <c r="O11" s="4">
        <f t="shared" si="6"/>
        <v>14613</v>
      </c>
      <c r="P11" s="4">
        <f t="shared" si="6"/>
        <v>14989</v>
      </c>
      <c r="Q11" s="4">
        <f t="shared" si="6"/>
        <v>15768</v>
      </c>
      <c r="R11" s="4">
        <f t="shared" si="6"/>
        <v>16831</v>
      </c>
      <c r="S11" s="4">
        <f t="shared" si="6"/>
        <v>16616.29</v>
      </c>
      <c r="T11" s="4">
        <f t="shared" ref="T11:AC11" si="7">SUM(T6:T10)</f>
        <v>16463.309400000002</v>
      </c>
      <c r="U11" s="4">
        <f t="shared" si="7"/>
        <v>16301.955293999999</v>
      </c>
      <c r="V11" s="4">
        <f t="shared" si="7"/>
        <v>16204.185086939999</v>
      </c>
      <c r="W11" s="4">
        <f t="shared" si="7"/>
        <v>16157.595129809401</v>
      </c>
      <c r="X11" s="4">
        <f t="shared" si="7"/>
        <v>16152.265634707492</v>
      </c>
      <c r="Y11" s="4">
        <f t="shared" si="7"/>
        <v>16180.26393393457</v>
      </c>
      <c r="Z11" s="4">
        <f t="shared" si="7"/>
        <v>16235.247087577916</v>
      </c>
      <c r="AA11" s="4">
        <f t="shared" si="7"/>
        <v>16312.143969896893</v>
      </c>
      <c r="AB11" s="4">
        <f t="shared" si="7"/>
        <v>16406.900938750423</v>
      </c>
      <c r="AC11" s="4">
        <f t="shared" si="7"/>
        <v>16516.278371461576</v>
      </c>
    </row>
    <row r="12" spans="2:29" s="2" customFormat="1" x14ac:dyDescent="0.3">
      <c r="B12" s="2" t="s">
        <v>36</v>
      </c>
      <c r="G12" s="9">
        <f>G5-G11</f>
        <v>13541</v>
      </c>
      <c r="H12" s="9">
        <f>H5-H11</f>
        <v>8835</v>
      </c>
      <c r="I12" s="9">
        <f>I5-I11</f>
        <v>6639</v>
      </c>
      <c r="J12" s="9">
        <f>J5-J11</f>
        <v>-2952</v>
      </c>
      <c r="N12" s="9">
        <f t="shared" ref="N12:S12" si="8">N5-N11</f>
        <v>7436</v>
      </c>
      <c r="O12" s="9">
        <f t="shared" si="8"/>
        <v>15299</v>
      </c>
      <c r="P12" s="9">
        <f t="shared" si="8"/>
        <v>20276</v>
      </c>
      <c r="Q12" s="9">
        <f t="shared" si="8"/>
        <v>22376</v>
      </c>
      <c r="R12" s="9">
        <f t="shared" si="8"/>
        <v>3687</v>
      </c>
      <c r="S12" s="9">
        <f t="shared" si="8"/>
        <v>-144.10000000000218</v>
      </c>
      <c r="T12" s="9">
        <f t="shared" ref="T12:AC12" si="9">T5-T11</f>
        <v>2765.2270600000011</v>
      </c>
      <c r="U12" s="9">
        <f t="shared" si="9"/>
        <v>5618.5762704000008</v>
      </c>
      <c r="V12" s="9">
        <f t="shared" si="9"/>
        <v>7100.8011025800024</v>
      </c>
      <c r="W12" s="9">
        <f t="shared" si="9"/>
        <v>7380.4409216058011</v>
      </c>
      <c r="X12" s="9">
        <f t="shared" si="9"/>
        <v>7621.1507772218647</v>
      </c>
      <c r="Y12" s="9">
        <f t="shared" si="9"/>
        <v>7830.8866421140774</v>
      </c>
      <c r="Z12" s="9">
        <f t="shared" si="9"/>
        <v>8016.0149942312182</v>
      </c>
      <c r="AA12" s="9">
        <f t="shared" si="9"/>
        <v>8181.630732730333</v>
      </c>
      <c r="AB12" s="9">
        <f t="shared" si="9"/>
        <v>8331.8115109030732</v>
      </c>
      <c r="AC12" s="9">
        <f t="shared" si="9"/>
        <v>8469.8212026884576</v>
      </c>
    </row>
    <row r="13" spans="2:29" x14ac:dyDescent="0.3">
      <c r="B13" s="1" t="s">
        <v>21</v>
      </c>
      <c r="G13" s="4">
        <v>-69</v>
      </c>
      <c r="H13" s="4">
        <f>Q13-G13</f>
        <v>27</v>
      </c>
      <c r="I13" s="4">
        <v>-350</v>
      </c>
      <c r="J13" s="4">
        <f>R13-I13</f>
        <v>5</v>
      </c>
      <c r="N13" s="4">
        <v>672</v>
      </c>
      <c r="O13" s="4">
        <v>746</v>
      </c>
      <c r="P13" s="4">
        <v>768</v>
      </c>
      <c r="Q13" s="4">
        <v>-42</v>
      </c>
      <c r="R13" s="4">
        <v>-345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2:29" s="2" customFormat="1" x14ac:dyDescent="0.3">
      <c r="B14" s="2" t="s">
        <v>22</v>
      </c>
      <c r="G14" s="9">
        <f>G12-G13</f>
        <v>13610</v>
      </c>
      <c r="H14" s="9">
        <f>H12-H13</f>
        <v>8808</v>
      </c>
      <c r="I14" s="9">
        <f>I12-I13</f>
        <v>6989</v>
      </c>
      <c r="J14" s="9">
        <f>J12-J13</f>
        <v>-2957</v>
      </c>
      <c r="N14" s="9">
        <f t="shared" ref="N14:S14" si="10">N12-N13</f>
        <v>6764</v>
      </c>
      <c r="O14" s="9">
        <f t="shared" si="10"/>
        <v>14553</v>
      </c>
      <c r="P14" s="9">
        <f t="shared" si="10"/>
        <v>19508</v>
      </c>
      <c r="Q14" s="9">
        <f t="shared" si="10"/>
        <v>22418</v>
      </c>
      <c r="R14" s="9">
        <f t="shared" si="10"/>
        <v>4032</v>
      </c>
      <c r="S14" s="9">
        <f t="shared" si="10"/>
        <v>-144.10000000000218</v>
      </c>
      <c r="T14" s="9">
        <f t="shared" ref="T14:AC14" si="11">T12-T13</f>
        <v>2765.2270600000011</v>
      </c>
      <c r="U14" s="9">
        <f t="shared" si="11"/>
        <v>5618.5762704000008</v>
      </c>
      <c r="V14" s="9">
        <f t="shared" si="11"/>
        <v>7100.8011025800024</v>
      </c>
      <c r="W14" s="9">
        <f t="shared" si="11"/>
        <v>7380.4409216058011</v>
      </c>
      <c r="X14" s="9">
        <f t="shared" si="11"/>
        <v>7621.1507772218647</v>
      </c>
      <c r="Y14" s="9">
        <f t="shared" si="11"/>
        <v>7830.8866421140774</v>
      </c>
      <c r="Z14" s="9">
        <f t="shared" si="11"/>
        <v>8016.0149942312182</v>
      </c>
      <c r="AA14" s="9">
        <f t="shared" si="11"/>
        <v>8181.630732730333</v>
      </c>
      <c r="AB14" s="9">
        <f t="shared" si="11"/>
        <v>8331.8115109030732</v>
      </c>
      <c r="AC14" s="9">
        <f t="shared" si="11"/>
        <v>8469.8212026884576</v>
      </c>
    </row>
    <row r="15" spans="2:29" x14ac:dyDescent="0.3">
      <c r="B15" s="1" t="s">
        <v>23</v>
      </c>
      <c r="G15" s="4">
        <v>2692</v>
      </c>
      <c r="H15" s="4">
        <f>Q15-G15</f>
        <v>1101</v>
      </c>
      <c r="I15" s="4">
        <v>1342</v>
      </c>
      <c r="J15" s="4">
        <f>R15-I15</f>
        <v>-2830</v>
      </c>
      <c r="N15" s="4">
        <v>2084</v>
      </c>
      <c r="O15" s="4">
        <v>1939</v>
      </c>
      <c r="P15" s="4">
        <v>2729</v>
      </c>
      <c r="Q15" s="4">
        <v>3793</v>
      </c>
      <c r="R15" s="4">
        <v>-1488</v>
      </c>
      <c r="S15" s="4">
        <f>S14*0.15</f>
        <v>-21.615000000000325</v>
      </c>
      <c r="T15" s="4">
        <f t="shared" ref="T15:AC15" si="12">T14*0.15</f>
        <v>414.78405900000013</v>
      </c>
      <c r="U15" s="4">
        <f t="shared" si="12"/>
        <v>842.78644056000007</v>
      </c>
      <c r="V15" s="4">
        <f t="shared" si="12"/>
        <v>1065.1201653870003</v>
      </c>
      <c r="W15" s="4">
        <f t="shared" si="12"/>
        <v>1107.06613824087</v>
      </c>
      <c r="X15" s="4">
        <f t="shared" si="12"/>
        <v>1143.1726165832797</v>
      </c>
      <c r="Y15" s="4">
        <f t="shared" si="12"/>
        <v>1174.6329963171115</v>
      </c>
      <c r="Z15" s="4">
        <f t="shared" si="12"/>
        <v>1202.4022491346827</v>
      </c>
      <c r="AA15" s="4">
        <f t="shared" si="12"/>
        <v>1227.2446099095498</v>
      </c>
      <c r="AB15" s="4">
        <f t="shared" si="12"/>
        <v>1249.7717266354609</v>
      </c>
      <c r="AC15" s="4">
        <f t="shared" si="12"/>
        <v>1270.4731804032685</v>
      </c>
    </row>
    <row r="16" spans="2:29" x14ac:dyDescent="0.3">
      <c r="B16" s="1" t="s">
        <v>24</v>
      </c>
      <c r="G16" s="4">
        <v>-5</v>
      </c>
      <c r="H16" s="4">
        <f>Q16-G16</f>
        <v>34</v>
      </c>
      <c r="I16" s="4">
        <v>23</v>
      </c>
      <c r="J16" s="4">
        <f>R16-I16</f>
        <v>24</v>
      </c>
      <c r="N16" s="4">
        <f>-110+315-139</f>
        <v>66</v>
      </c>
      <c r="O16" s="4">
        <f>-740-990+8</f>
        <v>-1722</v>
      </c>
      <c r="P16" s="4">
        <v>-20</v>
      </c>
      <c r="Q16" s="4">
        <v>29</v>
      </c>
      <c r="R16" s="4">
        <v>47</v>
      </c>
      <c r="S16" s="4">
        <f>S14*0.01</f>
        <v>-1.4410000000000218</v>
      </c>
      <c r="T16" s="4">
        <f t="shared" ref="T16:AC16" si="13">T14*0.01</f>
        <v>27.652270600000012</v>
      </c>
      <c r="U16" s="4">
        <f t="shared" si="13"/>
        <v>56.185762704000012</v>
      </c>
      <c r="V16" s="4">
        <f t="shared" si="13"/>
        <v>71.00801102580003</v>
      </c>
      <c r="W16" s="4">
        <f t="shared" si="13"/>
        <v>73.804409216058019</v>
      </c>
      <c r="X16" s="4">
        <f t="shared" si="13"/>
        <v>76.211507772218653</v>
      </c>
      <c r="Y16" s="4">
        <f t="shared" si="13"/>
        <v>78.308866421140777</v>
      </c>
      <c r="Z16" s="4">
        <f t="shared" si="13"/>
        <v>80.160149942312188</v>
      </c>
      <c r="AA16" s="4">
        <f t="shared" si="13"/>
        <v>81.816307327303335</v>
      </c>
      <c r="AB16" s="4">
        <f t="shared" si="13"/>
        <v>83.318115109030728</v>
      </c>
      <c r="AC16" s="4">
        <f t="shared" si="13"/>
        <v>84.698212026884576</v>
      </c>
    </row>
    <row r="17" spans="2:143" s="2" customFormat="1" x14ac:dyDescent="0.3">
      <c r="B17" s="2" t="s">
        <v>25</v>
      </c>
      <c r="G17" s="9">
        <f>G14-G15-G16</f>
        <v>10923</v>
      </c>
      <c r="H17" s="9">
        <f>H14-H15-H16</f>
        <v>7673</v>
      </c>
      <c r="I17" s="9">
        <f>I14-I15-I16</f>
        <v>5624</v>
      </c>
      <c r="J17" s="9">
        <f>J14-J15-J16</f>
        <v>-151</v>
      </c>
      <c r="N17" s="9">
        <f t="shared" ref="N17:S17" si="14">N14-N15-N16</f>
        <v>4614</v>
      </c>
      <c r="O17" s="9">
        <f t="shared" si="14"/>
        <v>14336</v>
      </c>
      <c r="P17" s="9">
        <f t="shared" si="14"/>
        <v>16799</v>
      </c>
      <c r="Q17" s="9">
        <f t="shared" si="14"/>
        <v>18596</v>
      </c>
      <c r="R17" s="9">
        <f t="shared" si="14"/>
        <v>5473</v>
      </c>
      <c r="S17" s="9">
        <f t="shared" si="14"/>
        <v>-121.04400000000184</v>
      </c>
      <c r="T17" s="9">
        <f t="shared" ref="T17:AC17" si="15">T14-T15-T16</f>
        <v>2322.7907304000009</v>
      </c>
      <c r="U17" s="9">
        <f t="shared" si="15"/>
        <v>4719.6040671360006</v>
      </c>
      <c r="V17" s="9">
        <f t="shared" si="15"/>
        <v>5964.6729261672017</v>
      </c>
      <c r="W17" s="9">
        <f t="shared" si="15"/>
        <v>6199.5703741488733</v>
      </c>
      <c r="X17" s="9">
        <f t="shared" si="15"/>
        <v>6401.7666528663667</v>
      </c>
      <c r="Y17" s="9">
        <f t="shared" si="15"/>
        <v>6577.9447793758245</v>
      </c>
      <c r="Z17" s="9">
        <f t="shared" si="15"/>
        <v>6733.4525951542237</v>
      </c>
      <c r="AA17" s="9">
        <f t="shared" si="15"/>
        <v>6872.5698154934798</v>
      </c>
      <c r="AB17" s="9">
        <f t="shared" si="15"/>
        <v>6998.7216691585809</v>
      </c>
      <c r="AC17" s="9">
        <f t="shared" si="15"/>
        <v>7114.6498102583037</v>
      </c>
      <c r="AD17" s="2">
        <f>AC17*(1+$AF$23)</f>
        <v>7043.5033121557208</v>
      </c>
      <c r="AE17" s="2">
        <f t="shared" ref="AE17:CP17" si="16">AD17*(1+$AF$23)</f>
        <v>6973.0682790341634</v>
      </c>
      <c r="AF17" s="2">
        <f t="shared" si="16"/>
        <v>6903.3375962438213</v>
      </c>
      <c r="AG17" s="2">
        <f t="shared" si="16"/>
        <v>6834.3042202813831</v>
      </c>
      <c r="AH17" s="2">
        <f t="shared" si="16"/>
        <v>6765.961178078569</v>
      </c>
      <c r="AI17" s="2">
        <f t="shared" si="16"/>
        <v>6698.3015662977832</v>
      </c>
      <c r="AJ17" s="2">
        <f t="shared" si="16"/>
        <v>6631.3185506348054</v>
      </c>
      <c r="AK17" s="2">
        <f t="shared" si="16"/>
        <v>6565.005365128457</v>
      </c>
      <c r="AL17" s="2">
        <f t="shared" si="16"/>
        <v>6499.3553114771721</v>
      </c>
      <c r="AM17" s="2">
        <f t="shared" si="16"/>
        <v>6434.3617583624</v>
      </c>
      <c r="AN17" s="2">
        <f t="shared" si="16"/>
        <v>6370.0181407787759</v>
      </c>
      <c r="AO17" s="2">
        <f t="shared" si="16"/>
        <v>6306.3179593709883</v>
      </c>
      <c r="AP17" s="2">
        <f t="shared" si="16"/>
        <v>6243.2547797772786</v>
      </c>
      <c r="AQ17" s="2">
        <f t="shared" si="16"/>
        <v>6180.8222319795059</v>
      </c>
      <c r="AR17" s="2">
        <f t="shared" si="16"/>
        <v>6119.0140096597106</v>
      </c>
      <c r="AS17" s="2">
        <f t="shared" si="16"/>
        <v>6057.8238695631135</v>
      </c>
      <c r="AT17" s="2">
        <f t="shared" si="16"/>
        <v>5997.2456308674819</v>
      </c>
      <c r="AU17" s="2">
        <f t="shared" si="16"/>
        <v>5937.2731745588071</v>
      </c>
      <c r="AV17" s="2">
        <f t="shared" si="16"/>
        <v>5877.9004428132193</v>
      </c>
      <c r="AW17" s="2">
        <f t="shared" si="16"/>
        <v>5819.1214383850875</v>
      </c>
      <c r="AX17" s="2">
        <f t="shared" si="16"/>
        <v>5760.9302240012366</v>
      </c>
      <c r="AY17" s="2">
        <f t="shared" si="16"/>
        <v>5703.3209217612239</v>
      </c>
      <c r="AZ17" s="2">
        <f t="shared" si="16"/>
        <v>5646.2877125436116</v>
      </c>
      <c r="BA17" s="2">
        <f t="shared" si="16"/>
        <v>5589.8248354181751</v>
      </c>
      <c r="BB17" s="2">
        <f t="shared" si="16"/>
        <v>5533.9265870639929</v>
      </c>
      <c r="BC17" s="2">
        <f t="shared" si="16"/>
        <v>5478.5873211933531</v>
      </c>
      <c r="BD17" s="2">
        <f t="shared" si="16"/>
        <v>5423.8014479814192</v>
      </c>
      <c r="BE17" s="2">
        <f t="shared" si="16"/>
        <v>5369.5634335016048</v>
      </c>
      <c r="BF17" s="2">
        <f t="shared" si="16"/>
        <v>5315.8677991665891</v>
      </c>
      <c r="BG17" s="2">
        <f t="shared" si="16"/>
        <v>5262.709121174923</v>
      </c>
      <c r="BH17" s="2">
        <f t="shared" si="16"/>
        <v>5210.0820299631741</v>
      </c>
      <c r="BI17" s="2">
        <f t="shared" si="16"/>
        <v>5157.9812096635424</v>
      </c>
      <c r="BJ17" s="2">
        <f t="shared" si="16"/>
        <v>5106.4013975669068</v>
      </c>
      <c r="BK17" s="2">
        <f t="shared" si="16"/>
        <v>5055.337383591238</v>
      </c>
      <c r="BL17" s="2">
        <f t="shared" si="16"/>
        <v>5004.7840097553253</v>
      </c>
      <c r="BM17" s="2">
        <f t="shared" si="16"/>
        <v>4954.7361696577718</v>
      </c>
      <c r="BN17" s="2">
        <f t="shared" si="16"/>
        <v>4905.1888079611945</v>
      </c>
      <c r="BO17" s="2">
        <f t="shared" si="16"/>
        <v>4856.1369198815828</v>
      </c>
      <c r="BP17" s="2">
        <f t="shared" si="16"/>
        <v>4807.5755506827672</v>
      </c>
      <c r="BQ17" s="2">
        <f t="shared" si="16"/>
        <v>4759.4997951759397</v>
      </c>
      <c r="BR17" s="2">
        <f t="shared" si="16"/>
        <v>4711.9047972241806</v>
      </c>
      <c r="BS17" s="2">
        <f t="shared" si="16"/>
        <v>4664.7857492519388</v>
      </c>
      <c r="BT17" s="2">
        <f t="shared" si="16"/>
        <v>4618.1378917594193</v>
      </c>
      <c r="BU17" s="2">
        <f t="shared" si="16"/>
        <v>4571.9565128418253</v>
      </c>
      <c r="BV17" s="2">
        <f t="shared" si="16"/>
        <v>4526.2369477134071</v>
      </c>
      <c r="BW17" s="2">
        <f t="shared" si="16"/>
        <v>4480.9745782362734</v>
      </c>
      <c r="BX17" s="2">
        <f t="shared" si="16"/>
        <v>4436.164832453911</v>
      </c>
      <c r="BY17" s="2">
        <f t="shared" si="16"/>
        <v>4391.8031841293714</v>
      </c>
      <c r="BZ17" s="2">
        <f t="shared" si="16"/>
        <v>4347.8851522880777</v>
      </c>
      <c r="CA17" s="2">
        <f t="shared" si="16"/>
        <v>4304.4063007651966</v>
      </c>
      <c r="CB17" s="2">
        <f t="shared" si="16"/>
        <v>4261.3622377575448</v>
      </c>
      <c r="CC17" s="2">
        <f t="shared" si="16"/>
        <v>4218.7486153799691</v>
      </c>
      <c r="CD17" s="2">
        <f t="shared" si="16"/>
        <v>4176.5611292261692</v>
      </c>
      <c r="CE17" s="2">
        <f t="shared" si="16"/>
        <v>4134.7955179339078</v>
      </c>
      <c r="CF17" s="2">
        <f t="shared" si="16"/>
        <v>4093.4475627545689</v>
      </c>
      <c r="CG17" s="2">
        <f t="shared" si="16"/>
        <v>4052.513087127023</v>
      </c>
      <c r="CH17" s="2">
        <f t="shared" si="16"/>
        <v>4011.9879562557526</v>
      </c>
      <c r="CI17" s="2">
        <f t="shared" si="16"/>
        <v>3971.8680766931952</v>
      </c>
      <c r="CJ17" s="2">
        <f t="shared" si="16"/>
        <v>3932.1493959262634</v>
      </c>
      <c r="CK17" s="2">
        <f t="shared" si="16"/>
        <v>3892.8279019670008</v>
      </c>
      <c r="CL17" s="2">
        <f t="shared" si="16"/>
        <v>3853.899622947331</v>
      </c>
      <c r="CM17" s="2">
        <f t="shared" si="16"/>
        <v>3815.3606267178575</v>
      </c>
      <c r="CN17" s="2">
        <f t="shared" si="16"/>
        <v>3777.207020450679</v>
      </c>
      <c r="CO17" s="2">
        <f t="shared" si="16"/>
        <v>3739.4349502461723</v>
      </c>
      <c r="CP17" s="2">
        <f t="shared" si="16"/>
        <v>3702.0406007437105</v>
      </c>
      <c r="CQ17" s="2">
        <f t="shared" ref="CQ17:EM17" si="17">CP17*(1+$AF$23)</f>
        <v>3665.0201947362734</v>
      </c>
      <c r="CR17" s="2">
        <f t="shared" si="17"/>
        <v>3628.3699927889106</v>
      </c>
      <c r="CS17" s="2">
        <f t="shared" si="17"/>
        <v>3592.0862928610213</v>
      </c>
      <c r="CT17" s="2">
        <f t="shared" si="17"/>
        <v>3556.1654299324109</v>
      </c>
      <c r="CU17" s="2">
        <f t="shared" si="17"/>
        <v>3520.6037756330866</v>
      </c>
      <c r="CV17" s="2">
        <f t="shared" si="17"/>
        <v>3485.3977378767559</v>
      </c>
      <c r="CW17" s="2">
        <f t="shared" si="17"/>
        <v>3450.5437604979884</v>
      </c>
      <c r="CX17" s="2">
        <f t="shared" si="17"/>
        <v>3416.0383228930086</v>
      </c>
      <c r="CY17" s="2">
        <f t="shared" si="17"/>
        <v>3381.8779396640784</v>
      </c>
      <c r="CZ17" s="2">
        <f t="shared" si="17"/>
        <v>3348.0591602674376</v>
      </c>
      <c r="DA17" s="2">
        <f t="shared" si="17"/>
        <v>3314.5785686647632</v>
      </c>
      <c r="DB17" s="2">
        <f t="shared" si="17"/>
        <v>3281.4327829781155</v>
      </c>
      <c r="DC17" s="2">
        <f t="shared" si="17"/>
        <v>3248.6184551483343</v>
      </c>
      <c r="DD17" s="2">
        <f t="shared" si="17"/>
        <v>3216.132270596851</v>
      </c>
      <c r="DE17" s="2">
        <f t="shared" si="17"/>
        <v>3183.9709478908826</v>
      </c>
      <c r="DF17" s="2">
        <f t="shared" si="17"/>
        <v>3152.1312384119738</v>
      </c>
      <c r="DG17" s="2">
        <f t="shared" si="17"/>
        <v>3120.6099260278538</v>
      </c>
      <c r="DH17" s="2">
        <f t="shared" si="17"/>
        <v>3089.4038267675751</v>
      </c>
      <c r="DI17" s="2">
        <f t="shared" si="17"/>
        <v>3058.5097884998995</v>
      </c>
      <c r="DJ17" s="2">
        <f t="shared" si="17"/>
        <v>3027.9246906149006</v>
      </c>
      <c r="DK17" s="2">
        <f t="shared" si="17"/>
        <v>2997.6454437087514</v>
      </c>
      <c r="DL17" s="2">
        <f t="shared" si="17"/>
        <v>2967.668989271664</v>
      </c>
      <c r="DM17" s="2">
        <f t="shared" si="17"/>
        <v>2937.9922993789473</v>
      </c>
      <c r="DN17" s="2">
        <f t="shared" si="17"/>
        <v>2908.6123763851579</v>
      </c>
      <c r="DO17" s="2">
        <f t="shared" si="17"/>
        <v>2879.5262526213064</v>
      </c>
      <c r="DP17" s="2">
        <f t="shared" si="17"/>
        <v>2850.7309900950931</v>
      </c>
      <c r="DQ17" s="2">
        <f t="shared" si="17"/>
        <v>2822.2236801941422</v>
      </c>
      <c r="DR17" s="2">
        <f t="shared" si="17"/>
        <v>2794.0014433922006</v>
      </c>
      <c r="DS17" s="2">
        <f t="shared" si="17"/>
        <v>2766.0614289582786</v>
      </c>
      <c r="DT17" s="2">
        <f t="shared" si="17"/>
        <v>2738.4008146686956</v>
      </c>
      <c r="DU17" s="2">
        <f t="shared" si="17"/>
        <v>2711.0168065220087</v>
      </c>
      <c r="DV17" s="2">
        <f t="shared" si="17"/>
        <v>2683.9066384567886</v>
      </c>
      <c r="DW17" s="2">
        <f t="shared" si="17"/>
        <v>2657.0675720722206</v>
      </c>
      <c r="DX17" s="2">
        <f t="shared" si="17"/>
        <v>2630.4968963514984</v>
      </c>
      <c r="DY17" s="2">
        <f t="shared" si="17"/>
        <v>2604.1919273879835</v>
      </c>
      <c r="DZ17" s="2">
        <f t="shared" si="17"/>
        <v>2578.1500081141035</v>
      </c>
      <c r="EA17" s="2">
        <f t="shared" si="17"/>
        <v>2552.3685080329624</v>
      </c>
      <c r="EB17" s="2">
        <f t="shared" si="17"/>
        <v>2526.8448229526325</v>
      </c>
      <c r="EC17" s="2">
        <f t="shared" si="17"/>
        <v>2501.5763747231063</v>
      </c>
      <c r="ED17" s="2">
        <f t="shared" si="17"/>
        <v>2476.5606109758751</v>
      </c>
      <c r="EE17" s="2">
        <f t="shared" si="17"/>
        <v>2451.7950048661164</v>
      </c>
      <c r="EF17" s="2">
        <f t="shared" si="17"/>
        <v>2427.2770548174553</v>
      </c>
      <c r="EG17" s="2">
        <f t="shared" si="17"/>
        <v>2403.0042842692806</v>
      </c>
      <c r="EH17" s="2">
        <f t="shared" si="17"/>
        <v>2378.9742414265879</v>
      </c>
      <c r="EI17" s="2">
        <f t="shared" si="17"/>
        <v>2355.1844990123222</v>
      </c>
      <c r="EJ17" s="2">
        <f t="shared" si="17"/>
        <v>2331.6326540221989</v>
      </c>
      <c r="EK17" s="2">
        <f t="shared" si="17"/>
        <v>2308.3163274819767</v>
      </c>
      <c r="EL17" s="2">
        <f t="shared" si="17"/>
        <v>2285.2331642071567</v>
      </c>
      <c r="EM17" s="2">
        <f t="shared" si="17"/>
        <v>2262.3808325650853</v>
      </c>
    </row>
    <row r="18" spans="2:143" x14ac:dyDescent="0.3">
      <c r="B18" s="1" t="s">
        <v>2</v>
      </c>
      <c r="G18" s="4">
        <f>2896.1+866.5</f>
        <v>3762.6</v>
      </c>
      <c r="H18" s="4">
        <f>2896.1+866.5</f>
        <v>3762.6</v>
      </c>
      <c r="I18" s="4">
        <f>2896.1+866.5</f>
        <v>3762.6</v>
      </c>
      <c r="J18" s="4">
        <f>2896.1+866.5</f>
        <v>3762.6</v>
      </c>
      <c r="N18" s="4">
        <f t="shared" ref="N18:S18" si="18">2896.1+866.5</f>
        <v>3762.6</v>
      </c>
      <c r="O18" s="4">
        <f t="shared" si="18"/>
        <v>3762.6</v>
      </c>
      <c r="P18" s="4">
        <f t="shared" si="18"/>
        <v>3762.6</v>
      </c>
      <c r="Q18" s="4">
        <f t="shared" si="18"/>
        <v>3762.6</v>
      </c>
      <c r="R18" s="4">
        <f t="shared" si="18"/>
        <v>3762.6</v>
      </c>
      <c r="S18" s="4">
        <f t="shared" si="18"/>
        <v>3762.6</v>
      </c>
      <c r="T18" s="4">
        <f t="shared" ref="T18:AC18" si="19">2896.1+866.5</f>
        <v>3762.6</v>
      </c>
      <c r="U18" s="4">
        <f t="shared" si="19"/>
        <v>3762.6</v>
      </c>
      <c r="V18" s="4">
        <f t="shared" si="19"/>
        <v>3762.6</v>
      </c>
      <c r="W18" s="4">
        <f t="shared" si="19"/>
        <v>3762.6</v>
      </c>
      <c r="X18" s="4">
        <f t="shared" si="19"/>
        <v>3762.6</v>
      </c>
      <c r="Y18" s="4">
        <f t="shared" si="19"/>
        <v>3762.6</v>
      </c>
      <c r="Z18" s="4">
        <f t="shared" si="19"/>
        <v>3762.6</v>
      </c>
      <c r="AA18" s="4">
        <f t="shared" si="19"/>
        <v>3762.6</v>
      </c>
      <c r="AB18" s="4">
        <f t="shared" si="19"/>
        <v>3762.6</v>
      </c>
      <c r="AC18" s="4">
        <f t="shared" si="19"/>
        <v>3762.6</v>
      </c>
    </row>
    <row r="19" spans="2:143" x14ac:dyDescent="0.3">
      <c r="B19" s="1" t="s">
        <v>26</v>
      </c>
      <c r="G19" s="8">
        <f>G17/G18</f>
        <v>2.9030457662254823</v>
      </c>
      <c r="H19" s="8">
        <f>H17/H18</f>
        <v>2.0392813480040397</v>
      </c>
      <c r="I19" s="8">
        <f>I17/I18</f>
        <v>1.4947111040238135</v>
      </c>
      <c r="J19" s="8">
        <f>J17/J18</f>
        <v>-4.0131823738903949E-2</v>
      </c>
      <c r="N19" s="8">
        <f t="shared" ref="N19:S19" si="20">N17/N18</f>
        <v>1.2262797002073036</v>
      </c>
      <c r="O19" s="8">
        <f t="shared" si="20"/>
        <v>3.8101312921915698</v>
      </c>
      <c r="P19" s="8">
        <f t="shared" si="20"/>
        <v>4.464731834369851</v>
      </c>
      <c r="Q19" s="8">
        <f t="shared" si="20"/>
        <v>4.9423271142295224</v>
      </c>
      <c r="R19" s="8">
        <f t="shared" si="20"/>
        <v>1.4545792802849093</v>
      </c>
      <c r="S19" s="8">
        <f t="shared" si="20"/>
        <v>-3.2170307765907048E-2</v>
      </c>
      <c r="T19" s="8">
        <f t="shared" ref="T19:AC19" si="21">T17/T18</f>
        <v>0.61733661042895893</v>
      </c>
      <c r="U19" s="8">
        <f t="shared" si="21"/>
        <v>1.2543464803954714</v>
      </c>
      <c r="V19" s="8">
        <f t="shared" si="21"/>
        <v>1.5852529969083087</v>
      </c>
      <c r="W19" s="8">
        <f t="shared" si="21"/>
        <v>1.6476825530614132</v>
      </c>
      <c r="X19" s="8">
        <f t="shared" si="21"/>
        <v>1.701420999539246</v>
      </c>
      <c r="Y19" s="8">
        <f t="shared" si="21"/>
        <v>1.7482445062924108</v>
      </c>
      <c r="Z19" s="8">
        <f t="shared" si="21"/>
        <v>1.7895743887615543</v>
      </c>
      <c r="AA19" s="8">
        <f t="shared" si="21"/>
        <v>1.8265480825741456</v>
      </c>
      <c r="AB19" s="8">
        <f t="shared" si="21"/>
        <v>1.8600759233398663</v>
      </c>
      <c r="AC19" s="8">
        <f t="shared" si="21"/>
        <v>1.8908865705252496</v>
      </c>
    </row>
    <row r="21" spans="2:143" x14ac:dyDescent="0.3">
      <c r="B21" s="1" t="s">
        <v>37</v>
      </c>
      <c r="I21" s="10">
        <f t="shared" ref="I21" si="22">I3/G3-1</f>
        <v>-0.1357250325309044</v>
      </c>
      <c r="J21" s="10">
        <f>J3/H3-1</f>
        <v>-0.21184302886724582</v>
      </c>
      <c r="N21" s="10"/>
      <c r="O21" s="10">
        <f t="shared" ref="O21" si="23">O3/N3-1</f>
        <v>0.13621696718005416</v>
      </c>
      <c r="P21" s="10">
        <f t="shared" ref="P21" si="24">P3/O3-1</f>
        <v>0.18060202867491904</v>
      </c>
      <c r="Q21" s="10">
        <f t="shared" ref="Q21" si="25">Q3/P3-1</f>
        <v>5.5414495077731774E-2</v>
      </c>
      <c r="R21" s="10">
        <f>R3/Q3-1</f>
        <v>-0.17233993162537453</v>
      </c>
      <c r="S21" s="10">
        <f t="shared" ref="S21:AC21" si="26">S3/R3-1</f>
        <v>-0.30000000000000004</v>
      </c>
      <c r="T21" s="10">
        <f t="shared" si="26"/>
        <v>3.0000000000000027E-2</v>
      </c>
      <c r="U21" s="10">
        <f t="shared" si="26"/>
        <v>2.0000000000000018E-2</v>
      </c>
      <c r="V21" s="10">
        <f t="shared" si="26"/>
        <v>1.0000000000000009E-2</v>
      </c>
      <c r="W21" s="10">
        <f t="shared" si="26"/>
        <v>1.0000000000000009E-2</v>
      </c>
      <c r="X21" s="10">
        <f t="shared" si="26"/>
        <v>1.0000000000000009E-2</v>
      </c>
      <c r="Y21" s="10">
        <f t="shared" si="26"/>
        <v>1.0000000000000009E-2</v>
      </c>
      <c r="Z21" s="10">
        <f t="shared" si="26"/>
        <v>1.0000000000000009E-2</v>
      </c>
      <c r="AA21" s="10">
        <f t="shared" si="26"/>
        <v>1.0000000000000009E-2</v>
      </c>
      <c r="AB21" s="10">
        <f t="shared" si="26"/>
        <v>1.0000000000000009E-2</v>
      </c>
      <c r="AC21" s="10">
        <f t="shared" si="26"/>
        <v>1.0000000000000009E-2</v>
      </c>
    </row>
    <row r="22" spans="2:143" x14ac:dyDescent="0.3">
      <c r="B22" s="1" t="s">
        <v>38</v>
      </c>
      <c r="G22" s="10">
        <f t="shared" ref="G22:I22" si="27">G5/G3</f>
        <v>0.21789606376057255</v>
      </c>
      <c r="H22" s="10">
        <f t="shared" si="27"/>
        <v>0.18327191366148987</v>
      </c>
      <c r="I22" s="10">
        <f t="shared" si="27"/>
        <v>0.17877600950398156</v>
      </c>
      <c r="J22" s="10">
        <f>J5/J3</f>
        <v>7.4017895659676314E-2</v>
      </c>
      <c r="N22" s="10">
        <f t="shared" ref="N22:P22" si="28">N5/N3</f>
        <v>0.1620456820184939</v>
      </c>
      <c r="O22" s="10">
        <f t="shared" si="28"/>
        <v>0.1966355287636653</v>
      </c>
      <c r="P22" s="10">
        <f t="shared" si="28"/>
        <v>0.196361753307497</v>
      </c>
      <c r="Q22" s="10">
        <f t="shared" ref="Q22" si="29">Q5/Q3</f>
        <v>0.20124087283163802</v>
      </c>
      <c r="R22" s="10">
        <f>R5/R3</f>
        <v>0.13078953071813765</v>
      </c>
      <c r="S22" s="10">
        <f t="shared" ref="S22:AC22" si="30">S5/S3</f>
        <v>0.15</v>
      </c>
      <c r="T22" s="10">
        <f t="shared" si="30"/>
        <v>0.17</v>
      </c>
      <c r="U22" s="10">
        <f t="shared" si="30"/>
        <v>0.19</v>
      </c>
      <c r="V22" s="10">
        <f t="shared" si="30"/>
        <v>0.2</v>
      </c>
      <c r="W22" s="10">
        <f t="shared" si="30"/>
        <v>0.2</v>
      </c>
      <c r="X22" s="10">
        <f t="shared" si="30"/>
        <v>0.2</v>
      </c>
      <c r="Y22" s="10">
        <f t="shared" si="30"/>
        <v>0.2</v>
      </c>
      <c r="Z22" s="10">
        <f t="shared" si="30"/>
        <v>0.2</v>
      </c>
      <c r="AA22" s="10">
        <f t="shared" si="30"/>
        <v>0.2</v>
      </c>
      <c r="AB22" s="10">
        <f t="shared" si="30"/>
        <v>0.2</v>
      </c>
      <c r="AC22" s="10">
        <f t="shared" si="30"/>
        <v>0.2</v>
      </c>
    </row>
    <row r="23" spans="2:143" x14ac:dyDescent="0.3">
      <c r="B23" s="1" t="s">
        <v>39</v>
      </c>
      <c r="G23" s="10"/>
      <c r="H23" s="10"/>
      <c r="I23" s="10">
        <f t="shared" ref="I23" si="31">I6/G6-1</f>
        <v>-7.2546230440967308E-2</v>
      </c>
      <c r="J23" s="10">
        <f>J6/H6-1</f>
        <v>2.4891774891774965E-2</v>
      </c>
      <c r="N23" s="10"/>
      <c r="O23" s="10">
        <f t="shared" ref="O23:O24" si="32">O6/N6-1</f>
        <v>-8.1941045014366498E-3</v>
      </c>
      <c r="P23" s="10">
        <f t="shared" ref="P23:P24" si="33">P6/O6-1</f>
        <v>-3.6373390557939866E-2</v>
      </c>
      <c r="Q23" s="10">
        <f t="shared" ref="Q23" si="34">Q6/P6-1</f>
        <v>6.235385814497274E-2</v>
      </c>
      <c r="R23" s="10">
        <f>R6/Q6-1</f>
        <v>-2.5364217587255045E-2</v>
      </c>
      <c r="S23" s="10">
        <f t="shared" ref="S23:AC23" si="35">S6/R6-1</f>
        <v>-5.0000000000000044E-2</v>
      </c>
      <c r="T23" s="10">
        <f t="shared" si="35"/>
        <v>2.0000000000000018E-2</v>
      </c>
      <c r="U23" s="10">
        <f t="shared" si="35"/>
        <v>1.0000000000000009E-2</v>
      </c>
      <c r="V23" s="10">
        <f t="shared" si="35"/>
        <v>1.0000000000000009E-2</v>
      </c>
      <c r="W23" s="10">
        <f t="shared" si="35"/>
        <v>1.0000000000000009E-2</v>
      </c>
      <c r="X23" s="10">
        <f t="shared" si="35"/>
        <v>1.0000000000000009E-2</v>
      </c>
      <c r="Y23" s="10">
        <f t="shared" si="35"/>
        <v>1.0000000000000009E-2</v>
      </c>
      <c r="Z23" s="10">
        <f t="shared" si="35"/>
        <v>1.0000000000000009E-2</v>
      </c>
      <c r="AA23" s="10">
        <f t="shared" si="35"/>
        <v>1.0000000000000009E-2</v>
      </c>
      <c r="AB23" s="10">
        <f t="shared" si="35"/>
        <v>1.0000000000000009E-2</v>
      </c>
      <c r="AC23" s="10">
        <f t="shared" si="35"/>
        <v>1.0000000000000009E-2</v>
      </c>
      <c r="AE23" s="1" t="s">
        <v>43</v>
      </c>
      <c r="AF23" s="10">
        <v>-0.01</v>
      </c>
    </row>
    <row r="24" spans="2:143" x14ac:dyDescent="0.3">
      <c r="B24" s="1" t="s">
        <v>40</v>
      </c>
      <c r="G24" s="10"/>
      <c r="H24" s="10"/>
      <c r="I24" s="10">
        <f t="shared" ref="I24" si="36">I7/G7-1</f>
        <v>3.0712979890310743E-2</v>
      </c>
      <c r="J24" s="10">
        <f>J7/H7-1</f>
        <v>2.8085991678224786E-2</v>
      </c>
      <c r="N24" s="10"/>
      <c r="O24" s="10">
        <f t="shared" si="32"/>
        <v>1.9775873434411118E-3</v>
      </c>
      <c r="P24" s="10">
        <f t="shared" si="33"/>
        <v>0.14035087719298245</v>
      </c>
      <c r="Q24" s="10">
        <f t="shared" ref="Q24" si="37">Q7/P7-1</f>
        <v>8.0576923076923102E-2</v>
      </c>
      <c r="R24" s="10">
        <f>R7/Q7-1</f>
        <v>2.9364655632674763E-2</v>
      </c>
      <c r="S24" s="10">
        <f t="shared" ref="S24:AC24" si="38">S7/R7-1</f>
        <v>1.0000000000000009E-2</v>
      </c>
      <c r="T24" s="10">
        <f t="shared" si="38"/>
        <v>1.0000000000000009E-2</v>
      </c>
      <c r="U24" s="10">
        <f t="shared" si="38"/>
        <v>1.0000000000000009E-2</v>
      </c>
      <c r="V24" s="10">
        <f t="shared" si="38"/>
        <v>1.0000000000000009E-2</v>
      </c>
      <c r="W24" s="10">
        <f t="shared" si="38"/>
        <v>1.0000000000000009E-2</v>
      </c>
      <c r="X24" s="10">
        <f t="shared" si="38"/>
        <v>1.0000000000000009E-2</v>
      </c>
      <c r="Y24" s="10">
        <f t="shared" si="38"/>
        <v>1.0000000000000009E-2</v>
      </c>
      <c r="Z24" s="10">
        <f t="shared" si="38"/>
        <v>1.0000000000000009E-2</v>
      </c>
      <c r="AA24" s="10">
        <f t="shared" si="38"/>
        <v>1.0000000000000009E-2</v>
      </c>
      <c r="AB24" s="10">
        <f t="shared" si="38"/>
        <v>1.0000000000000009E-2</v>
      </c>
      <c r="AC24" s="10">
        <f t="shared" si="38"/>
        <v>1.0000000000000009E-2</v>
      </c>
      <c r="AE24" s="1" t="s">
        <v>44</v>
      </c>
      <c r="AF24" s="10">
        <v>0.08</v>
      </c>
    </row>
    <row r="25" spans="2:143" x14ac:dyDescent="0.3">
      <c r="B25" s="1" t="s">
        <v>41</v>
      </c>
      <c r="G25" s="10">
        <f t="shared" ref="G25:I25" si="39">G12/G3</f>
        <v>0.13765655497722837</v>
      </c>
      <c r="H25" s="10">
        <f t="shared" si="39"/>
        <v>9.6900500131613582E-2</v>
      </c>
      <c r="I25" s="10">
        <f t="shared" si="39"/>
        <v>7.8090264300081161E-2</v>
      </c>
      <c r="J25" s="10">
        <f>J12/J3</f>
        <v>-4.1079305882189228E-2</v>
      </c>
      <c r="N25" s="10">
        <f t="shared" ref="N25:P25" si="40">N12/N3</f>
        <v>5.554144694581796E-2</v>
      </c>
      <c r="O25" s="10">
        <f t="shared" si="40"/>
        <v>0.10057257804744969</v>
      </c>
      <c r="P25" s="10">
        <f t="shared" si="40"/>
        <v>0.112900351908771</v>
      </c>
      <c r="Q25" s="10">
        <f t="shared" ref="Q25" si="41">Q12/Q3</f>
        <v>0.11805174524121048</v>
      </c>
      <c r="R25" s="10">
        <f>R12/R3</f>
        <v>2.3502339397493594E-2</v>
      </c>
      <c r="S25" s="10">
        <f t="shared" ref="S25:AC25" si="42">S12/S3</f>
        <v>-1.3122116731290939E-3</v>
      </c>
      <c r="T25" s="10">
        <f t="shared" si="42"/>
        <v>2.4447445658586548E-2</v>
      </c>
      <c r="U25" s="10">
        <f t="shared" si="42"/>
        <v>4.8699981943399563E-2</v>
      </c>
      <c r="V25" s="10">
        <f t="shared" si="42"/>
        <v>6.0938041712062074E-2</v>
      </c>
      <c r="W25" s="10">
        <f t="shared" si="42"/>
        <v>6.2710762320903654E-2</v>
      </c>
      <c r="X25" s="10">
        <f t="shared" si="42"/>
        <v>6.4114897456619815E-2</v>
      </c>
      <c r="Y25" s="10">
        <f t="shared" si="42"/>
        <v>6.5227083702731531E-2</v>
      </c>
      <c r="Z25" s="10">
        <f t="shared" si="42"/>
        <v>6.6108023303612137E-2</v>
      </c>
      <c r="AA25" s="10">
        <f t="shared" si="42"/>
        <v>6.6805797244903736E-2</v>
      </c>
      <c r="AB25" s="10">
        <f t="shared" si="42"/>
        <v>6.735848947562971E-2</v>
      </c>
      <c r="AC25" s="10">
        <f t="shared" si="42"/>
        <v>6.7796265499967145E-2</v>
      </c>
      <c r="AE25" s="1" t="s">
        <v>45</v>
      </c>
      <c r="AF25" s="4">
        <f>NPV(AF24,S17:EM17)</f>
        <v>69034.014853054192</v>
      </c>
    </row>
    <row r="26" spans="2:143" x14ac:dyDescent="0.3">
      <c r="B26" s="1" t="s">
        <v>23</v>
      </c>
      <c r="G26" s="10">
        <f t="shared" ref="G26:I26" si="43">G15/G14</f>
        <v>0.19779573842762674</v>
      </c>
      <c r="H26" s="10">
        <f t="shared" si="43"/>
        <v>0.125</v>
      </c>
      <c r="I26" s="10">
        <f t="shared" si="43"/>
        <v>0.19201602518242952</v>
      </c>
      <c r="J26" s="10">
        <f>J15/J14</f>
        <v>0.95705106526885353</v>
      </c>
      <c r="N26" s="10">
        <f t="shared" ref="N26:P26" si="44">N15/N14</f>
        <v>0.30810171496156119</v>
      </c>
      <c r="O26" s="10">
        <f t="shared" si="44"/>
        <v>0.13323713323713324</v>
      </c>
      <c r="P26" s="10">
        <f t="shared" si="44"/>
        <v>0.13989132663522658</v>
      </c>
      <c r="Q26" s="10">
        <f t="shared" ref="Q26" si="45">Q15/Q14</f>
        <v>0.16919439735926486</v>
      </c>
      <c r="R26" s="10">
        <f>R15/R14</f>
        <v>-0.36904761904761907</v>
      </c>
      <c r="S26" s="10">
        <f t="shared" ref="S26:AC26" si="46">S15/S14</f>
        <v>0.15</v>
      </c>
      <c r="T26" s="10">
        <f t="shared" si="46"/>
        <v>0.15</v>
      </c>
      <c r="U26" s="10">
        <f t="shared" si="46"/>
        <v>0.15</v>
      </c>
      <c r="V26" s="10">
        <f t="shared" si="46"/>
        <v>0.15</v>
      </c>
      <c r="W26" s="10">
        <f t="shared" si="46"/>
        <v>0.15</v>
      </c>
      <c r="X26" s="10">
        <f t="shared" si="46"/>
        <v>0.15</v>
      </c>
      <c r="Y26" s="10">
        <f t="shared" si="46"/>
        <v>0.15</v>
      </c>
      <c r="Z26" s="10">
        <f t="shared" si="46"/>
        <v>0.15</v>
      </c>
      <c r="AA26" s="10">
        <f t="shared" si="46"/>
        <v>0.15</v>
      </c>
      <c r="AB26" s="10">
        <f t="shared" si="46"/>
        <v>0.15</v>
      </c>
      <c r="AC26" s="10">
        <f t="shared" si="46"/>
        <v>0.15</v>
      </c>
      <c r="AE26" s="1" t="s">
        <v>49</v>
      </c>
      <c r="AF26" s="4">
        <f>Main!D8</f>
        <v>-3127</v>
      </c>
    </row>
    <row r="27" spans="2:143" x14ac:dyDescent="0.3">
      <c r="B27" s="1" t="s">
        <v>42</v>
      </c>
      <c r="G27" s="10">
        <f t="shared" ref="G27:I27" si="47">G17/G3</f>
        <v>0.11104220884840599</v>
      </c>
      <c r="H27" s="10">
        <f t="shared" si="47"/>
        <v>8.4155918224094059E-2</v>
      </c>
      <c r="I27" s="10">
        <f t="shared" si="47"/>
        <v>6.6151475587235498E-2</v>
      </c>
      <c r="J27" s="10">
        <f>J17/J3</f>
        <v>-2.1012788577949096E-3</v>
      </c>
      <c r="N27" s="10">
        <f t="shared" ref="N27:P27" si="48">N17/N3</f>
        <v>3.4463183997848854E-2</v>
      </c>
      <c r="O27" s="10">
        <f t="shared" si="48"/>
        <v>9.424200790170853E-2</v>
      </c>
      <c r="P27" s="10">
        <f t="shared" si="48"/>
        <v>9.3539801327453334E-2</v>
      </c>
      <c r="Q27" s="10">
        <f t="shared" ref="Q27" si="49">Q17/Q3</f>
        <v>9.8109146161313471E-2</v>
      </c>
      <c r="R27" s="10">
        <f>R17/R3</f>
        <v>3.4886982240977062E-2</v>
      </c>
      <c r="S27" s="10">
        <f t="shared" ref="S27:AC27" si="50">S17/S3</f>
        <v>-1.1022578054284389E-3</v>
      </c>
      <c r="T27" s="10">
        <f t="shared" si="50"/>
        <v>2.0535854353212701E-2</v>
      </c>
      <c r="U27" s="10">
        <f t="shared" si="50"/>
        <v>4.0907984832455634E-2</v>
      </c>
      <c r="V27" s="10">
        <f t="shared" si="50"/>
        <v>5.1187955038132144E-2</v>
      </c>
      <c r="W27" s="10">
        <f t="shared" si="50"/>
        <v>5.2677040349559071E-2</v>
      </c>
      <c r="X27" s="10">
        <f t="shared" si="50"/>
        <v>5.3856513863560641E-2</v>
      </c>
      <c r="Y27" s="10">
        <f t="shared" si="50"/>
        <v>5.4790750310294484E-2</v>
      </c>
      <c r="Z27" s="10">
        <f t="shared" si="50"/>
        <v>5.5530739575034203E-2</v>
      </c>
      <c r="AA27" s="10">
        <f t="shared" si="50"/>
        <v>5.6116869685719141E-2</v>
      </c>
      <c r="AB27" s="10">
        <f t="shared" si="50"/>
        <v>5.6581131159528952E-2</v>
      </c>
      <c r="AC27" s="10">
        <f t="shared" si="50"/>
        <v>5.6948863019972394E-2</v>
      </c>
      <c r="AE27" s="1" t="s">
        <v>46</v>
      </c>
      <c r="AF27" s="4">
        <f>AF25-AF26</f>
        <v>72161.014853054192</v>
      </c>
    </row>
    <row r="28" spans="2:143" x14ac:dyDescent="0.3">
      <c r="AE28" s="1" t="s">
        <v>47</v>
      </c>
      <c r="AF28" s="11">
        <f>AF27/AC18</f>
        <v>19.178497542405303</v>
      </c>
    </row>
    <row r="29" spans="2:143" x14ac:dyDescent="0.3">
      <c r="AE29" s="1" t="s">
        <v>48</v>
      </c>
      <c r="AF29" s="11">
        <f>Main!D3</f>
        <v>8</v>
      </c>
    </row>
    <row r="30" spans="2:143" s="2" customFormat="1" x14ac:dyDescent="0.3">
      <c r="B30" s="2" t="s">
        <v>25</v>
      </c>
      <c r="G30" s="9">
        <f t="shared" ref="G30:I30" si="51">G17</f>
        <v>10923</v>
      </c>
      <c r="H30" s="9">
        <f t="shared" si="51"/>
        <v>7673</v>
      </c>
      <c r="I30" s="9">
        <f t="shared" si="51"/>
        <v>5624</v>
      </c>
      <c r="J30" s="9">
        <f>J17</f>
        <v>-151</v>
      </c>
      <c r="N30" s="9">
        <f t="shared" ref="N30:AC30" si="52">N17</f>
        <v>4614</v>
      </c>
      <c r="O30" s="9">
        <f t="shared" si="52"/>
        <v>14336</v>
      </c>
      <c r="P30" s="9">
        <f t="shared" si="52"/>
        <v>16799</v>
      </c>
      <c r="Q30" s="9">
        <f t="shared" si="52"/>
        <v>18596</v>
      </c>
      <c r="R30" s="9">
        <f t="shared" si="52"/>
        <v>5473</v>
      </c>
      <c r="S30" s="9">
        <f t="shared" si="52"/>
        <v>-121.04400000000184</v>
      </c>
      <c r="T30" s="9">
        <f t="shared" si="52"/>
        <v>2322.7907304000009</v>
      </c>
      <c r="U30" s="9">
        <f t="shared" si="52"/>
        <v>4719.6040671360006</v>
      </c>
      <c r="V30" s="9">
        <f t="shared" si="52"/>
        <v>5964.6729261672017</v>
      </c>
      <c r="W30" s="9">
        <f t="shared" si="52"/>
        <v>6199.5703741488733</v>
      </c>
      <c r="X30" s="9">
        <f t="shared" si="52"/>
        <v>6401.7666528663667</v>
      </c>
      <c r="Y30" s="9">
        <f t="shared" si="52"/>
        <v>6577.9447793758245</v>
      </c>
      <c r="Z30" s="9">
        <f t="shared" si="52"/>
        <v>6733.4525951542237</v>
      </c>
      <c r="AA30" s="9">
        <f t="shared" si="52"/>
        <v>6872.5698154934798</v>
      </c>
      <c r="AB30" s="9">
        <f t="shared" si="52"/>
        <v>6998.7216691585809</v>
      </c>
      <c r="AC30" s="9">
        <f t="shared" si="52"/>
        <v>7114.6498102583037</v>
      </c>
      <c r="AE30" s="2" t="s">
        <v>50</v>
      </c>
      <c r="AF30" s="12">
        <f>AF28/AF29-1</f>
        <v>1.3973121928006629</v>
      </c>
    </row>
    <row r="31" spans="2:143" x14ac:dyDescent="0.3">
      <c r="B31" s="1" t="s">
        <v>53</v>
      </c>
      <c r="I31" s="4"/>
      <c r="P31" s="4">
        <v>6797</v>
      </c>
      <c r="Q31" s="4">
        <v>7549</v>
      </c>
      <c r="R31" s="4">
        <v>7226</v>
      </c>
      <c r="S31" s="1">
        <f>R31*1.001</f>
        <v>7233.2259999999997</v>
      </c>
      <c r="T31" s="1">
        <f t="shared" ref="T31:AC31" si="53">S31*1.001</f>
        <v>7240.459225999999</v>
      </c>
      <c r="U31" s="1">
        <f t="shared" si="53"/>
        <v>7247.6996852259981</v>
      </c>
      <c r="V31" s="1">
        <f t="shared" si="53"/>
        <v>7254.9473849112237</v>
      </c>
      <c r="W31" s="1">
        <f t="shared" si="53"/>
        <v>7262.202332296134</v>
      </c>
      <c r="X31" s="1">
        <f t="shared" si="53"/>
        <v>7269.4645346284296</v>
      </c>
      <c r="Y31" s="1">
        <f t="shared" si="53"/>
        <v>7276.733999163057</v>
      </c>
      <c r="Z31" s="1">
        <f t="shared" si="53"/>
        <v>7284.0107331622194</v>
      </c>
      <c r="AA31" s="1">
        <f t="shared" si="53"/>
        <v>7291.2947438953806</v>
      </c>
      <c r="AB31" s="1">
        <f t="shared" si="53"/>
        <v>7298.5860386392751</v>
      </c>
      <c r="AC31" s="1">
        <f t="shared" si="53"/>
        <v>7305.884624677914</v>
      </c>
      <c r="AE31" s="1" t="s">
        <v>51</v>
      </c>
      <c r="AF31" s="7" t="s">
        <v>52</v>
      </c>
    </row>
    <row r="32" spans="2:143" x14ac:dyDescent="0.3">
      <c r="B32" s="1" t="s">
        <v>54</v>
      </c>
      <c r="I32" s="4"/>
      <c r="P32" s="4">
        <v>-192</v>
      </c>
      <c r="Q32" s="4">
        <v>-195</v>
      </c>
      <c r="R32" s="4">
        <v>-32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2:140" x14ac:dyDescent="0.3">
      <c r="B33" s="1" t="s">
        <v>55</v>
      </c>
      <c r="I33" s="4"/>
      <c r="P33" s="4">
        <v>-711</v>
      </c>
      <c r="Q33" s="4">
        <v>701</v>
      </c>
      <c r="R33" s="4">
        <v>-2921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2:140" x14ac:dyDescent="0.3">
      <c r="B34" s="1" t="s">
        <v>56</v>
      </c>
      <c r="I34" s="4"/>
      <c r="P34" s="4">
        <v>391</v>
      </c>
      <c r="Q34" s="4">
        <v>720</v>
      </c>
      <c r="R34" s="4">
        <v>1927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2:140" x14ac:dyDescent="0.3">
      <c r="B35" s="1" t="s">
        <v>57</v>
      </c>
      <c r="I35" s="4"/>
      <c r="P35" s="4">
        <v>1906</v>
      </c>
      <c r="Q35" s="4">
        <v>2460</v>
      </c>
      <c r="R35" s="4">
        <v>1779</v>
      </c>
      <c r="S35" s="1">
        <v>2000</v>
      </c>
      <c r="T35" s="1">
        <v>2000</v>
      </c>
      <c r="U35" s="1">
        <v>2000</v>
      </c>
      <c r="V35" s="1">
        <v>2000</v>
      </c>
      <c r="W35" s="1">
        <v>2000</v>
      </c>
      <c r="X35" s="1">
        <v>2000</v>
      </c>
      <c r="Y35" s="1">
        <v>2000</v>
      </c>
      <c r="Z35" s="1">
        <v>2000</v>
      </c>
      <c r="AA35" s="1">
        <v>2000</v>
      </c>
      <c r="AB35" s="1">
        <v>2000</v>
      </c>
      <c r="AC35" s="1">
        <v>2000</v>
      </c>
    </row>
    <row r="36" spans="2:140" x14ac:dyDescent="0.3">
      <c r="B36" s="1" t="s">
        <v>58</v>
      </c>
      <c r="I36" s="4"/>
      <c r="P36" s="4">
        <v>-47</v>
      </c>
      <c r="Q36" s="4">
        <v>-156</v>
      </c>
      <c r="R36" s="4">
        <v>381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2:140" x14ac:dyDescent="0.3">
      <c r="B37" s="1" t="s">
        <v>59</v>
      </c>
      <c r="I37" s="4"/>
      <c r="P37" s="4">
        <v>-483</v>
      </c>
      <c r="Q37" s="4">
        <v>-1747</v>
      </c>
      <c r="R37" s="4">
        <v>-3885</v>
      </c>
      <c r="S37" s="1">
        <v>-2000</v>
      </c>
      <c r="T37" s="1">
        <v>-2000</v>
      </c>
      <c r="U37" s="1">
        <v>-2000</v>
      </c>
      <c r="V37" s="1">
        <v>-2000</v>
      </c>
      <c r="W37" s="1">
        <v>-2000</v>
      </c>
      <c r="X37" s="1">
        <v>-2000</v>
      </c>
      <c r="Y37" s="1">
        <v>-2000</v>
      </c>
      <c r="Z37" s="1">
        <v>-2000</v>
      </c>
      <c r="AA37" s="1">
        <v>-2000</v>
      </c>
      <c r="AB37" s="1">
        <v>-2000</v>
      </c>
      <c r="AC37" s="1">
        <v>-2000</v>
      </c>
    </row>
    <row r="38" spans="2:140" x14ac:dyDescent="0.3">
      <c r="B38" s="1" t="s">
        <v>60</v>
      </c>
      <c r="I38" s="4"/>
      <c r="P38" s="4">
        <v>-4481</v>
      </c>
      <c r="Q38" s="4">
        <v>-5472</v>
      </c>
      <c r="R38" s="4">
        <v>-5987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2:140" s="2" customFormat="1" x14ac:dyDescent="0.3">
      <c r="B39" s="2" t="s">
        <v>61</v>
      </c>
      <c r="I39" s="9"/>
      <c r="P39" s="9">
        <f>P30+SUM(P31:P38)</f>
        <v>19979</v>
      </c>
      <c r="Q39" s="9">
        <f t="shared" ref="Q39:AC39" si="54">Q30+SUM(Q31:Q38)</f>
        <v>22456</v>
      </c>
      <c r="R39" s="9">
        <f t="shared" si="54"/>
        <v>3961</v>
      </c>
      <c r="S39" s="9">
        <f t="shared" si="54"/>
        <v>7112.1819999999971</v>
      </c>
      <c r="T39" s="9">
        <f t="shared" si="54"/>
        <v>9563.2499563999991</v>
      </c>
      <c r="U39" s="9">
        <f t="shared" si="54"/>
        <v>11967.303752361999</v>
      </c>
      <c r="V39" s="9">
        <f t="shared" si="54"/>
        <v>13219.620311078426</v>
      </c>
      <c r="W39" s="9">
        <f t="shared" si="54"/>
        <v>13461.772706445008</v>
      </c>
      <c r="X39" s="9">
        <f t="shared" si="54"/>
        <v>13671.231187494797</v>
      </c>
      <c r="Y39" s="9">
        <f t="shared" si="54"/>
        <v>13854.678778538882</v>
      </c>
      <c r="Z39" s="9">
        <f t="shared" si="54"/>
        <v>14017.463328316444</v>
      </c>
      <c r="AA39" s="9">
        <f t="shared" si="54"/>
        <v>14163.864559388861</v>
      </c>
      <c r="AB39" s="9">
        <f t="shared" si="54"/>
        <v>14297.307707797856</v>
      </c>
      <c r="AC39" s="9">
        <f t="shared" si="54"/>
        <v>14420.534434936217</v>
      </c>
    </row>
    <row r="40" spans="2:140" x14ac:dyDescent="0.3">
      <c r="B40" s="1" t="s">
        <v>62</v>
      </c>
      <c r="I40" s="4"/>
      <c r="P40" s="4">
        <v>8615</v>
      </c>
      <c r="Q40" s="4">
        <v>10193</v>
      </c>
      <c r="R40" s="4">
        <f>11060</f>
        <v>11060</v>
      </c>
      <c r="S40" s="4">
        <f>R40*0.99</f>
        <v>10949.4</v>
      </c>
      <c r="T40" s="4">
        <f t="shared" ref="T40:AC40" si="55">S40*0.99</f>
        <v>10839.905999999999</v>
      </c>
      <c r="U40" s="4">
        <f t="shared" si="55"/>
        <v>10731.506939999999</v>
      </c>
      <c r="V40" s="4">
        <f t="shared" si="55"/>
        <v>10624.1918706</v>
      </c>
      <c r="W40" s="4">
        <f t="shared" si="55"/>
        <v>10517.949951893999</v>
      </c>
      <c r="X40" s="4">
        <f t="shared" si="55"/>
        <v>10412.77045237506</v>
      </c>
      <c r="Y40" s="4">
        <f t="shared" si="55"/>
        <v>10308.642747851309</v>
      </c>
      <c r="Z40" s="4">
        <f t="shared" si="55"/>
        <v>10205.556320372796</v>
      </c>
      <c r="AA40" s="4">
        <f t="shared" si="55"/>
        <v>10103.500757169068</v>
      </c>
      <c r="AB40" s="4">
        <f t="shared" si="55"/>
        <v>10002.465749597377</v>
      </c>
      <c r="AC40" s="4">
        <f t="shared" si="55"/>
        <v>9902.4410921014023</v>
      </c>
    </row>
    <row r="41" spans="2:140" s="2" customFormat="1" x14ac:dyDescent="0.3">
      <c r="B41" s="2" t="s">
        <v>63</v>
      </c>
      <c r="I41" s="9"/>
      <c r="P41" s="9">
        <f>P39-P40</f>
        <v>11364</v>
      </c>
      <c r="Q41" s="9">
        <f>Q39-Q40</f>
        <v>12263</v>
      </c>
      <c r="R41" s="9">
        <f>R39-R40</f>
        <v>-7099</v>
      </c>
      <c r="S41" s="9">
        <f>S39-S40</f>
        <v>-3837.2180000000026</v>
      </c>
      <c r="T41" s="9">
        <f t="shared" ref="T41:AC41" si="56">T39-T40</f>
        <v>-1276.6560436</v>
      </c>
      <c r="U41" s="9">
        <f t="shared" si="56"/>
        <v>1235.7968123619994</v>
      </c>
      <c r="V41" s="9">
        <f t="shared" si="56"/>
        <v>2595.4284404784266</v>
      </c>
      <c r="W41" s="9">
        <f t="shared" si="56"/>
        <v>2943.822754551009</v>
      </c>
      <c r="X41" s="9">
        <f t="shared" si="56"/>
        <v>3258.4607351197374</v>
      </c>
      <c r="Y41" s="9">
        <f t="shared" si="56"/>
        <v>3546.0360306875737</v>
      </c>
      <c r="Z41" s="9">
        <f t="shared" si="56"/>
        <v>3811.9070079436478</v>
      </c>
      <c r="AA41" s="9">
        <f t="shared" si="56"/>
        <v>4060.3638022197938</v>
      </c>
      <c r="AB41" s="9">
        <f t="shared" si="56"/>
        <v>4294.841958200479</v>
      </c>
      <c r="AC41" s="9">
        <f t="shared" si="56"/>
        <v>4518.0933428348144</v>
      </c>
      <c r="AD41" s="2">
        <f>AC41*(1+$AF$23)</f>
        <v>4472.9124094064664</v>
      </c>
      <c r="AE41" s="2">
        <f t="shared" ref="AE41:CP41" si="57">AD41*(1+$AF$23)</f>
        <v>4428.1832853124015</v>
      </c>
      <c r="AF41" s="2">
        <f t="shared" si="57"/>
        <v>4383.9014524592776</v>
      </c>
      <c r="AG41" s="2">
        <f t="shared" si="57"/>
        <v>4340.0624379346846</v>
      </c>
      <c r="AH41" s="2">
        <f t="shared" si="57"/>
        <v>4296.6618135553381</v>
      </c>
      <c r="AI41" s="2">
        <f t="shared" si="57"/>
        <v>4253.6951954197848</v>
      </c>
      <c r="AJ41" s="2">
        <f t="shared" si="57"/>
        <v>4211.1582434655866</v>
      </c>
      <c r="AK41" s="2">
        <f t="shared" si="57"/>
        <v>4169.0466610309304</v>
      </c>
      <c r="AL41" s="2">
        <f t="shared" si="57"/>
        <v>4127.3561944206213</v>
      </c>
      <c r="AM41" s="2">
        <f t="shared" si="57"/>
        <v>4086.0826324764148</v>
      </c>
      <c r="AN41" s="2">
        <f t="shared" si="57"/>
        <v>4045.2218061516505</v>
      </c>
      <c r="AO41" s="2">
        <f t="shared" si="57"/>
        <v>4004.7695880901338</v>
      </c>
      <c r="AP41" s="2">
        <f t="shared" si="57"/>
        <v>3964.7218922092325</v>
      </c>
      <c r="AQ41" s="2">
        <f t="shared" si="57"/>
        <v>3925.0746732871403</v>
      </c>
      <c r="AR41" s="2">
        <f t="shared" si="57"/>
        <v>3885.8239265542688</v>
      </c>
      <c r="AS41" s="2">
        <f t="shared" si="57"/>
        <v>3846.9656872887263</v>
      </c>
      <c r="AT41" s="2">
        <f t="shared" si="57"/>
        <v>3808.496030415839</v>
      </c>
      <c r="AU41" s="2">
        <f t="shared" si="57"/>
        <v>3770.4110701116806</v>
      </c>
      <c r="AV41" s="2">
        <f t="shared" si="57"/>
        <v>3732.7069594105637</v>
      </c>
      <c r="AW41" s="2">
        <f t="shared" si="57"/>
        <v>3695.3798898164582</v>
      </c>
      <c r="AX41" s="2">
        <f t="shared" si="57"/>
        <v>3658.4260909182935</v>
      </c>
      <c r="AY41" s="2">
        <f t="shared" si="57"/>
        <v>3621.8418300091107</v>
      </c>
      <c r="AZ41" s="2">
        <f t="shared" si="57"/>
        <v>3585.6234117090194</v>
      </c>
      <c r="BA41" s="2">
        <f t="shared" si="57"/>
        <v>3549.7671775919293</v>
      </c>
      <c r="BB41" s="2">
        <f t="shared" si="57"/>
        <v>3514.2695058160102</v>
      </c>
      <c r="BC41" s="2">
        <f t="shared" si="57"/>
        <v>3479.1268107578503</v>
      </c>
      <c r="BD41" s="2">
        <f t="shared" si="57"/>
        <v>3444.3355426502717</v>
      </c>
      <c r="BE41" s="2">
        <f t="shared" si="57"/>
        <v>3409.8921872237688</v>
      </c>
      <c r="BF41" s="2">
        <f t="shared" si="57"/>
        <v>3375.7932653515313</v>
      </c>
      <c r="BG41" s="2">
        <f t="shared" si="57"/>
        <v>3342.0353326980162</v>
      </c>
      <c r="BH41" s="2">
        <f t="shared" si="57"/>
        <v>3308.614979371036</v>
      </c>
      <c r="BI41" s="2">
        <f t="shared" si="57"/>
        <v>3275.5288295773257</v>
      </c>
      <c r="BJ41" s="2">
        <f t="shared" si="57"/>
        <v>3242.7735412815523</v>
      </c>
      <c r="BK41" s="2">
        <f t="shared" si="57"/>
        <v>3210.3458058687365</v>
      </c>
      <c r="BL41" s="2">
        <f t="shared" si="57"/>
        <v>3178.2423478100491</v>
      </c>
      <c r="BM41" s="2">
        <f t="shared" si="57"/>
        <v>3146.4599243319485</v>
      </c>
      <c r="BN41" s="2">
        <f t="shared" si="57"/>
        <v>3114.9953250886292</v>
      </c>
      <c r="BO41" s="2">
        <f t="shared" si="57"/>
        <v>3083.8453718377427</v>
      </c>
      <c r="BP41" s="2">
        <f t="shared" si="57"/>
        <v>3053.0069181193653</v>
      </c>
      <c r="BQ41" s="2">
        <f t="shared" si="57"/>
        <v>3022.4768489381718</v>
      </c>
      <c r="BR41" s="2">
        <f t="shared" si="57"/>
        <v>2992.2520804487899</v>
      </c>
      <c r="BS41" s="2">
        <f t="shared" si="57"/>
        <v>2962.3295596443022</v>
      </c>
      <c r="BT41" s="2">
        <f t="shared" si="57"/>
        <v>2932.7062640478593</v>
      </c>
      <c r="BU41" s="2">
        <f t="shared" si="57"/>
        <v>2903.3792014073806</v>
      </c>
      <c r="BV41" s="2">
        <f t="shared" si="57"/>
        <v>2874.3454093933069</v>
      </c>
      <c r="BW41" s="2">
        <f t="shared" si="57"/>
        <v>2845.6019552993739</v>
      </c>
      <c r="BX41" s="2">
        <f t="shared" si="57"/>
        <v>2817.14593574638</v>
      </c>
      <c r="BY41" s="2">
        <f t="shared" si="57"/>
        <v>2788.9744763889162</v>
      </c>
      <c r="BZ41" s="2">
        <f t="shared" si="57"/>
        <v>2761.084731625027</v>
      </c>
      <c r="CA41" s="2">
        <f t="shared" si="57"/>
        <v>2733.4738843087766</v>
      </c>
      <c r="CB41" s="2">
        <f t="shared" si="57"/>
        <v>2706.1391454656887</v>
      </c>
      <c r="CC41" s="2">
        <f t="shared" si="57"/>
        <v>2679.0777540110316</v>
      </c>
      <c r="CD41" s="2">
        <f t="shared" si="57"/>
        <v>2652.2869764709212</v>
      </c>
      <c r="CE41" s="2">
        <f t="shared" si="57"/>
        <v>2625.7641067062118</v>
      </c>
      <c r="CF41" s="2">
        <f t="shared" si="57"/>
        <v>2599.5064656391496</v>
      </c>
      <c r="CG41" s="2">
        <f t="shared" si="57"/>
        <v>2573.511400982758</v>
      </c>
      <c r="CH41" s="2">
        <f t="shared" si="57"/>
        <v>2547.7762869729304</v>
      </c>
      <c r="CI41" s="2">
        <f t="shared" si="57"/>
        <v>2522.2985241032011</v>
      </c>
      <c r="CJ41" s="2">
        <f t="shared" si="57"/>
        <v>2497.0755388621692</v>
      </c>
      <c r="CK41" s="2">
        <f t="shared" si="57"/>
        <v>2472.1047834735473</v>
      </c>
      <c r="CL41" s="2">
        <f t="shared" si="57"/>
        <v>2447.3837356388117</v>
      </c>
      <c r="CM41" s="2">
        <f t="shared" si="57"/>
        <v>2422.9098982824235</v>
      </c>
      <c r="CN41" s="2">
        <f t="shared" si="57"/>
        <v>2398.6807992995991</v>
      </c>
      <c r="CO41" s="2">
        <f t="shared" si="57"/>
        <v>2374.693991306603</v>
      </c>
      <c r="CP41" s="2">
        <f t="shared" si="57"/>
        <v>2350.9470513935371</v>
      </c>
      <c r="CQ41" s="2">
        <f t="shared" ref="CQ41:EJ41" si="58">CP41*(1+$AF$23)</f>
        <v>2327.4375808796017</v>
      </c>
      <c r="CR41" s="2">
        <f t="shared" si="58"/>
        <v>2304.1632050708058</v>
      </c>
      <c r="CS41" s="2">
        <f t="shared" si="58"/>
        <v>2281.1215730200979</v>
      </c>
      <c r="CT41" s="2">
        <f t="shared" si="58"/>
        <v>2258.3103572898967</v>
      </c>
      <c r="CU41" s="2">
        <f t="shared" si="58"/>
        <v>2235.7272537169979</v>
      </c>
      <c r="CV41" s="2">
        <f t="shared" si="58"/>
        <v>2213.3699811798278</v>
      </c>
      <c r="CW41" s="2">
        <f t="shared" si="58"/>
        <v>2191.2362813680297</v>
      </c>
      <c r="CX41" s="2">
        <f t="shared" si="58"/>
        <v>2169.3239185543493</v>
      </c>
      <c r="CY41" s="2">
        <f t="shared" si="58"/>
        <v>2147.6306793688059</v>
      </c>
      <c r="CZ41" s="2">
        <f t="shared" si="58"/>
        <v>2126.154372575118</v>
      </c>
      <c r="DA41" s="2">
        <f t="shared" si="58"/>
        <v>2104.8928288493667</v>
      </c>
      <c r="DB41" s="2">
        <f t="shared" si="58"/>
        <v>2083.843900560873</v>
      </c>
      <c r="DC41" s="2">
        <f t="shared" si="58"/>
        <v>2063.005461555264</v>
      </c>
      <c r="DD41" s="2">
        <f t="shared" si="58"/>
        <v>2042.3754069397114</v>
      </c>
      <c r="DE41" s="2">
        <f t="shared" si="58"/>
        <v>2021.9516528703143</v>
      </c>
      <c r="DF41" s="2">
        <f t="shared" si="58"/>
        <v>2001.7321363416111</v>
      </c>
      <c r="DG41" s="2">
        <f t="shared" si="58"/>
        <v>1981.7148149781949</v>
      </c>
      <c r="DH41" s="2">
        <f t="shared" si="58"/>
        <v>1961.8976668284129</v>
      </c>
      <c r="DI41" s="2">
        <f t="shared" si="58"/>
        <v>1942.2786901601287</v>
      </c>
      <c r="DJ41" s="2">
        <f t="shared" si="58"/>
        <v>1922.8559032585274</v>
      </c>
      <c r="DK41" s="2">
        <f t="shared" si="58"/>
        <v>1903.6273442259421</v>
      </c>
      <c r="DL41" s="2">
        <f t="shared" si="58"/>
        <v>1884.5910707836827</v>
      </c>
      <c r="DM41" s="2">
        <f t="shared" si="58"/>
        <v>1865.7451600758459</v>
      </c>
      <c r="DN41" s="2">
        <f t="shared" si="58"/>
        <v>1847.0877084750873</v>
      </c>
      <c r="DO41" s="2">
        <f t="shared" si="58"/>
        <v>1828.6168313903365</v>
      </c>
      <c r="DP41" s="2">
        <f t="shared" si="58"/>
        <v>1810.3306630764332</v>
      </c>
      <c r="DQ41" s="2">
        <f t="shared" si="58"/>
        <v>1792.2273564456689</v>
      </c>
      <c r="DR41" s="2">
        <f t="shared" si="58"/>
        <v>1774.3050828812122</v>
      </c>
      <c r="DS41" s="2">
        <f t="shared" si="58"/>
        <v>1756.5620320524001</v>
      </c>
      <c r="DT41" s="2">
        <f t="shared" si="58"/>
        <v>1738.9964117318762</v>
      </c>
      <c r="DU41" s="2">
        <f t="shared" si="58"/>
        <v>1721.6064476145573</v>
      </c>
      <c r="DV41" s="2">
        <f t="shared" si="58"/>
        <v>1704.3903831384116</v>
      </c>
      <c r="DW41" s="2">
        <f t="shared" si="58"/>
        <v>1687.3464793070275</v>
      </c>
      <c r="DX41" s="2">
        <f t="shared" si="58"/>
        <v>1670.4730145139572</v>
      </c>
      <c r="DY41" s="2">
        <f t="shared" si="58"/>
        <v>1653.7682843688176</v>
      </c>
      <c r="DZ41" s="2">
        <f t="shared" si="58"/>
        <v>1637.2306015251295</v>
      </c>
      <c r="EA41" s="2">
        <f t="shared" si="58"/>
        <v>1620.8582955098782</v>
      </c>
      <c r="EB41" s="2">
        <f t="shared" si="58"/>
        <v>1604.6497125547794</v>
      </c>
      <c r="EC41" s="2">
        <f t="shared" si="58"/>
        <v>1588.6032154292316</v>
      </c>
      <c r="ED41" s="2">
        <f t="shared" si="58"/>
        <v>1572.7171832749393</v>
      </c>
      <c r="EE41" s="2">
        <f t="shared" si="58"/>
        <v>1556.9900114421898</v>
      </c>
      <c r="EF41" s="2">
        <f t="shared" si="58"/>
        <v>1541.4201113277679</v>
      </c>
      <c r="EG41" s="2">
        <f t="shared" si="58"/>
        <v>1526.0059102144903</v>
      </c>
      <c r="EH41" s="2">
        <f t="shared" si="58"/>
        <v>1510.7458511123455</v>
      </c>
      <c r="EI41" s="2">
        <f t="shared" si="58"/>
        <v>1495.638392601222</v>
      </c>
      <c r="EJ41" s="2">
        <f t="shared" si="58"/>
        <v>1480.6820086752098</v>
      </c>
    </row>
    <row r="44" spans="2:140" x14ac:dyDescent="0.3">
      <c r="AF44" s="15">
        <f>NPV(AF24,S41:EJ41)</f>
        <v>33698.625511583537</v>
      </c>
    </row>
    <row r="45" spans="2:140" x14ac:dyDescent="0.3">
      <c r="AF45" s="4">
        <f>Main!D8</f>
        <v>-3127</v>
      </c>
    </row>
    <row r="46" spans="2:140" x14ac:dyDescent="0.3">
      <c r="AF46" s="15">
        <f>AF44+AF45</f>
        <v>30571.625511583537</v>
      </c>
    </row>
    <row r="47" spans="2:140" x14ac:dyDescent="0.3">
      <c r="AF47" s="16">
        <f>AF46/AC18</f>
        <v>8.1251330227990053</v>
      </c>
    </row>
    <row r="48" spans="2:140" x14ac:dyDescent="0.3">
      <c r="AF48" s="16">
        <f>Main!D3</f>
        <v>8</v>
      </c>
    </row>
    <row r="49" spans="32:32" x14ac:dyDescent="0.3">
      <c r="AF49" s="12">
        <f>AF47/AF48-1</f>
        <v>1.5641627849875661E-2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2025-04-22T10:51:23Z</dcterms:created>
  <dcterms:modified xsi:type="dcterms:W3CDTF">2025-05-02T13:54:07Z</dcterms:modified>
</cp:coreProperties>
</file>