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CD95A12-E16A-4B00-BD31-FA47948A26A5}" xr6:coauthVersionLast="47" xr6:coauthVersionMax="47" xr10:uidLastSave="{00000000-0000-0000-0000-000000000000}"/>
  <bookViews>
    <workbookView xWindow="-108" yWindow="-108" windowWidth="23256" windowHeight="12576" activeTab="1" xr2:uid="{739ADCDA-92AA-4302-8B1F-47F1B6FD860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6" i="2" l="1"/>
  <c r="Z67" i="2"/>
  <c r="Z78" i="2" s="1"/>
  <c r="Z57" i="2"/>
  <c r="Z56" i="2"/>
  <c r="Z44" i="2"/>
  <c r="Z34" i="2"/>
  <c r="AM76" i="2"/>
  <c r="AM67" i="2"/>
  <c r="AM56" i="2"/>
  <c r="AM44" i="2"/>
  <c r="AM34" i="2"/>
  <c r="AX16" i="2"/>
  <c r="AW16" i="2"/>
  <c r="AV16" i="2"/>
  <c r="AU16" i="2"/>
  <c r="AT16" i="2"/>
  <c r="AS16" i="2"/>
  <c r="AR16" i="2"/>
  <c r="AQ16" i="2"/>
  <c r="AP16" i="2"/>
  <c r="AO16" i="2"/>
  <c r="AN8" i="2"/>
  <c r="AN17" i="2"/>
  <c r="AN16" i="2"/>
  <c r="AN14" i="2"/>
  <c r="AN12" i="2"/>
  <c r="AN11" i="2"/>
  <c r="AN10" i="2"/>
  <c r="AN9" i="2"/>
  <c r="AN7" i="2"/>
  <c r="AU4" i="2"/>
  <c r="AV4" i="2" s="1"/>
  <c r="AW4" i="2" s="1"/>
  <c r="AX4" i="2" s="1"/>
  <c r="AT4" i="2"/>
  <c r="AP4" i="2"/>
  <c r="AQ4" i="2" s="1"/>
  <c r="AR4" i="2" s="1"/>
  <c r="AS4" i="2" s="1"/>
  <c r="AO4" i="2"/>
  <c r="AD32" i="2"/>
  <c r="AC32" i="2"/>
  <c r="AB32" i="2"/>
  <c r="AA32" i="2"/>
  <c r="AD31" i="2"/>
  <c r="AC31" i="2"/>
  <c r="AB31" i="2"/>
  <c r="AA31" i="2"/>
  <c r="AD30" i="2"/>
  <c r="AC30" i="2"/>
  <c r="AB30" i="2"/>
  <c r="AA30" i="2"/>
  <c r="AD29" i="2"/>
  <c r="AC29" i="2"/>
  <c r="AB29" i="2"/>
  <c r="AA29" i="2"/>
  <c r="AD28" i="2"/>
  <c r="AC28" i="2"/>
  <c r="AB28" i="2"/>
  <c r="AA28" i="2"/>
  <c r="AD27" i="2"/>
  <c r="AC27" i="2"/>
  <c r="AB27" i="2"/>
  <c r="AA27" i="2"/>
  <c r="AD26" i="2"/>
  <c r="AC26" i="2"/>
  <c r="AB26" i="2"/>
  <c r="AA26" i="2"/>
  <c r="AD25" i="2"/>
  <c r="AC25" i="2"/>
  <c r="AB25" i="2"/>
  <c r="AA25" i="2"/>
  <c r="AD24" i="2"/>
  <c r="AC24" i="2"/>
  <c r="AB24" i="2"/>
  <c r="AA24" i="2"/>
  <c r="AD23" i="2"/>
  <c r="AC23" i="2"/>
  <c r="AB23" i="2"/>
  <c r="AA23" i="2"/>
  <c r="AD22" i="2"/>
  <c r="AC22" i="2"/>
  <c r="AB22" i="2"/>
  <c r="AA22" i="2"/>
  <c r="AD18" i="2"/>
  <c r="AD20" i="2" s="1"/>
  <c r="AC18" i="2"/>
  <c r="AC20" i="2" s="1"/>
  <c r="AB18" i="2"/>
  <c r="AB20" i="2" s="1"/>
  <c r="AA18" i="2"/>
  <c r="AA20" i="2" s="1"/>
  <c r="Z14" i="2"/>
  <c r="AD16" i="2"/>
  <c r="AC16" i="2"/>
  <c r="AB16" i="2"/>
  <c r="AA16" i="2"/>
  <c r="AD15" i="2"/>
  <c r="AC15" i="2"/>
  <c r="AB15" i="2"/>
  <c r="AA15" i="2"/>
  <c r="AD13" i="2"/>
  <c r="AC13" i="2"/>
  <c r="AB13" i="2"/>
  <c r="AA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D7" i="2" s="1"/>
  <c r="AC8" i="2"/>
  <c r="AC7" i="2" s="1"/>
  <c r="AB8" i="2"/>
  <c r="AA8" i="2"/>
  <c r="AA7" i="2" s="1"/>
  <c r="AB7" i="2"/>
  <c r="AN5" i="2"/>
  <c r="AN4" i="2"/>
  <c r="AN3" i="2"/>
  <c r="AD5" i="2"/>
  <c r="AD6" i="2"/>
  <c r="AC6" i="2"/>
  <c r="AB6" i="2"/>
  <c r="AA6" i="2"/>
  <c r="AC5" i="2"/>
  <c r="AB5" i="2"/>
  <c r="AA5" i="2"/>
  <c r="AA4" i="2"/>
  <c r="AB4" i="2"/>
  <c r="AD4" i="2"/>
  <c r="AC4" i="2"/>
  <c r="AC3" i="2"/>
  <c r="AD3" i="2"/>
  <c r="AB3" i="2"/>
  <c r="AA3" i="2"/>
  <c r="AS86" i="2"/>
  <c r="AT86" i="2" s="1"/>
  <c r="AU86" i="2" s="1"/>
  <c r="AV86" i="2" s="1"/>
  <c r="AW86" i="2" s="1"/>
  <c r="AX86" i="2" s="1"/>
  <c r="AR86" i="2"/>
  <c r="AM89" i="2"/>
  <c r="Z117" i="2"/>
  <c r="Y117" i="2"/>
  <c r="X117" i="2"/>
  <c r="W117" i="2"/>
  <c r="Y116" i="2"/>
  <c r="X116" i="2"/>
  <c r="W116" i="2"/>
  <c r="Z116" i="2"/>
  <c r="Z12" i="2"/>
  <c r="D7" i="1"/>
  <c r="D6" i="1"/>
  <c r="AM78" i="2" l="1"/>
  <c r="AM57" i="2"/>
  <c r="AI113" i="2"/>
  <c r="AJ113" i="2"/>
  <c r="AK113" i="2"/>
  <c r="Z113" i="2"/>
  <c r="W113" i="2"/>
  <c r="S113" i="2"/>
  <c r="AK102" i="2"/>
  <c r="BA123" i="2"/>
  <c r="AO102" i="2"/>
  <c r="AL76" i="2"/>
  <c r="AL67" i="2"/>
  <c r="AL78" i="2" s="1"/>
  <c r="AL56" i="2"/>
  <c r="AL44" i="2"/>
  <c r="AL34" i="2"/>
  <c r="AK76" i="2"/>
  <c r="AK67" i="2"/>
  <c r="AK56" i="2"/>
  <c r="AK44" i="2"/>
  <c r="AK34" i="2"/>
  <c r="X112" i="2"/>
  <c r="Y112" i="2" s="1"/>
  <c r="X111" i="2"/>
  <c r="Y111" i="2" s="1"/>
  <c r="R76" i="2"/>
  <c r="R67" i="2"/>
  <c r="R56" i="2"/>
  <c r="R44" i="2"/>
  <c r="R34" i="2"/>
  <c r="W76" i="2"/>
  <c r="W67" i="2"/>
  <c r="W56" i="2"/>
  <c r="W44" i="2"/>
  <c r="W34" i="2"/>
  <c r="T112" i="2"/>
  <c r="U112" i="2" s="1"/>
  <c r="V112" i="2" s="1"/>
  <c r="T111" i="2"/>
  <c r="U111" i="2" s="1"/>
  <c r="V111" i="2" s="1"/>
  <c r="V113" i="2" s="1"/>
  <c r="T109" i="2"/>
  <c r="U109" i="2" s="1"/>
  <c r="V109" i="2" s="1"/>
  <c r="T108" i="2"/>
  <c r="U108" i="2" s="1"/>
  <c r="V108" i="2" s="1"/>
  <c r="T107" i="2"/>
  <c r="U107" i="2" s="1"/>
  <c r="V107" i="2" s="1"/>
  <c r="AL107" i="2" s="1"/>
  <c r="T106" i="2"/>
  <c r="U106" i="2" s="1"/>
  <c r="V106" i="2" s="1"/>
  <c r="AL106" i="2" s="1"/>
  <c r="T105" i="2"/>
  <c r="U105" i="2" s="1"/>
  <c r="V105" i="2" s="1"/>
  <c r="T104" i="2"/>
  <c r="U104" i="2" s="1"/>
  <c r="V104" i="2" s="1"/>
  <c r="T103" i="2"/>
  <c r="U103" i="2" s="1"/>
  <c r="V103" i="2" s="1"/>
  <c r="T102" i="2"/>
  <c r="U102" i="2" s="1"/>
  <c r="V102" i="2" s="1"/>
  <c r="T101" i="2"/>
  <c r="U101" i="2" s="1"/>
  <c r="V101" i="2" s="1"/>
  <c r="T100" i="2"/>
  <c r="U100" i="2" s="1"/>
  <c r="V100" i="2" s="1"/>
  <c r="T99" i="2"/>
  <c r="U99" i="2" s="1"/>
  <c r="V99" i="2" s="1"/>
  <c r="AL99" i="2" s="1"/>
  <c r="T98" i="2"/>
  <c r="U98" i="2" s="1"/>
  <c r="V98" i="2" s="1"/>
  <c r="AL98" i="2" s="1"/>
  <c r="T97" i="2"/>
  <c r="U97" i="2" s="1"/>
  <c r="V97" i="2" s="1"/>
  <c r="T96" i="2"/>
  <c r="U96" i="2" s="1"/>
  <c r="V96" i="2" s="1"/>
  <c r="T95" i="2"/>
  <c r="U95" i="2" s="1"/>
  <c r="V95" i="2" s="1"/>
  <c r="T94" i="2"/>
  <c r="U94" i="2" s="1"/>
  <c r="V94" i="2" s="1"/>
  <c r="T93" i="2"/>
  <c r="U93" i="2" s="1"/>
  <c r="V93" i="2" s="1"/>
  <c r="T92" i="2"/>
  <c r="U92" i="2" s="1"/>
  <c r="V92" i="2" s="1"/>
  <c r="T91" i="2"/>
  <c r="U91" i="2" s="1"/>
  <c r="V91" i="2" s="1"/>
  <c r="AL91" i="2" s="1"/>
  <c r="T90" i="2"/>
  <c r="U90" i="2" s="1"/>
  <c r="V90" i="2" s="1"/>
  <c r="AL90" i="2" s="1"/>
  <c r="T88" i="2"/>
  <c r="U88" i="2" s="1"/>
  <c r="V88" i="2" s="1"/>
  <c r="T87" i="2"/>
  <c r="U87" i="2" s="1"/>
  <c r="V87" i="2" s="1"/>
  <c r="T86" i="2"/>
  <c r="U86" i="2" s="1"/>
  <c r="V86" i="2" s="1"/>
  <c r="T85" i="2"/>
  <c r="U85" i="2" s="1"/>
  <c r="V85" i="2" s="1"/>
  <c r="T84" i="2"/>
  <c r="U84" i="2" s="1"/>
  <c r="V84" i="2" s="1"/>
  <c r="T83" i="2"/>
  <c r="T82" i="2"/>
  <c r="U82" i="2" s="1"/>
  <c r="V82" i="2" s="1"/>
  <c r="AL82" i="2" s="1"/>
  <c r="T81" i="2"/>
  <c r="U81" i="2" s="1"/>
  <c r="V81" i="2" s="1"/>
  <c r="AL81" i="2" s="1"/>
  <c r="X34" i="2"/>
  <c r="X76" i="2"/>
  <c r="X67" i="2"/>
  <c r="X56" i="2"/>
  <c r="X44" i="2"/>
  <c r="X109" i="2"/>
  <c r="Y109" i="2" s="1"/>
  <c r="X108" i="2"/>
  <c r="Y108" i="2" s="1"/>
  <c r="X107" i="2"/>
  <c r="Y107" i="2" s="1"/>
  <c r="X106" i="2"/>
  <c r="Y106" i="2" s="1"/>
  <c r="X105" i="2"/>
  <c r="Y105" i="2" s="1"/>
  <c r="X104" i="2"/>
  <c r="Y104" i="2" s="1"/>
  <c r="X103" i="2"/>
  <c r="Y103" i="2" s="1"/>
  <c r="X102" i="2"/>
  <c r="Y102" i="2" s="1"/>
  <c r="X101" i="2"/>
  <c r="Y101" i="2" s="1"/>
  <c r="X100" i="2"/>
  <c r="Y100" i="2" s="1"/>
  <c r="X99" i="2"/>
  <c r="Y99" i="2" s="1"/>
  <c r="X98" i="2"/>
  <c r="Y98" i="2" s="1"/>
  <c r="X97" i="2"/>
  <c r="Y97" i="2" s="1"/>
  <c r="X96" i="2"/>
  <c r="Y96" i="2" s="1"/>
  <c r="X95" i="2"/>
  <c r="X94" i="2"/>
  <c r="Y94" i="2" s="1"/>
  <c r="X93" i="2"/>
  <c r="Y93" i="2" s="1"/>
  <c r="X92" i="2"/>
  <c r="Y92" i="2" s="1"/>
  <c r="X91" i="2"/>
  <c r="Y91" i="2" s="1"/>
  <c r="X90" i="2"/>
  <c r="Y90" i="2" s="1"/>
  <c r="X88" i="2"/>
  <c r="Y88" i="2" s="1"/>
  <c r="X87" i="2"/>
  <c r="Y87" i="2" s="1"/>
  <c r="X86" i="2"/>
  <c r="Y86" i="2" s="1"/>
  <c r="X85" i="2"/>
  <c r="X84" i="2"/>
  <c r="Y84" i="2" s="1"/>
  <c r="X83" i="2"/>
  <c r="Y83" i="2" s="1"/>
  <c r="X82" i="2"/>
  <c r="Y82" i="2" s="1"/>
  <c r="X81" i="2"/>
  <c r="Y34" i="2"/>
  <c r="V34" i="2"/>
  <c r="V76" i="2"/>
  <c r="V67" i="2"/>
  <c r="V56" i="2"/>
  <c r="V44" i="2"/>
  <c r="Y77" i="2"/>
  <c r="Y76" i="2"/>
  <c r="Y67" i="2"/>
  <c r="Y56" i="2"/>
  <c r="Y44" i="2"/>
  <c r="T113" i="2" l="1"/>
  <c r="U113" i="2"/>
  <c r="Y113" i="2"/>
  <c r="X113" i="2"/>
  <c r="Y57" i="2"/>
  <c r="AM99" i="2"/>
  <c r="AM100" i="2"/>
  <c r="AM107" i="2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K57" i="2"/>
  <c r="AM108" i="2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M82" i="2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M83" i="2"/>
  <c r="W78" i="2"/>
  <c r="AK78" i="2"/>
  <c r="AM91" i="2"/>
  <c r="AM92" i="2"/>
  <c r="AL95" i="2"/>
  <c r="AL96" i="2"/>
  <c r="AL97" i="2"/>
  <c r="Y85" i="2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L57" i="2"/>
  <c r="AL92" i="2"/>
  <c r="AL100" i="2"/>
  <c r="AL108" i="2"/>
  <c r="AM84" i="2"/>
  <c r="AM93" i="2"/>
  <c r="AM101" i="2"/>
  <c r="AM109" i="2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L84" i="2"/>
  <c r="AL93" i="2"/>
  <c r="AL101" i="2"/>
  <c r="AL109" i="2"/>
  <c r="AM94" i="2"/>
  <c r="AM102" i="2"/>
  <c r="AM111" i="2"/>
  <c r="Y95" i="2"/>
  <c r="AM95" i="2" s="1"/>
  <c r="AL85" i="2"/>
  <c r="AL94" i="2"/>
  <c r="AL102" i="2"/>
  <c r="AL111" i="2"/>
  <c r="AM86" i="2"/>
  <c r="AN86" i="2" s="1"/>
  <c r="AO86" i="2" s="1"/>
  <c r="AP86" i="2" s="1"/>
  <c r="AQ86" i="2" s="1"/>
  <c r="AM103" i="2"/>
  <c r="AM112" i="2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P102" i="2"/>
  <c r="Y78" i="2"/>
  <c r="AL86" i="2"/>
  <c r="AL103" i="2"/>
  <c r="AL112" i="2"/>
  <c r="AM87" i="2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M96" i="2"/>
  <c r="AM104" i="2"/>
  <c r="AL87" i="2"/>
  <c r="AL104" i="2"/>
  <c r="AM88" i="2"/>
  <c r="AM97" i="2"/>
  <c r="AM105" i="2"/>
  <c r="AL88" i="2"/>
  <c r="AL105" i="2"/>
  <c r="AM90" i="2"/>
  <c r="AM98" i="2"/>
  <c r="AM106" i="2"/>
  <c r="R78" i="2"/>
  <c r="R57" i="2"/>
  <c r="W57" i="2"/>
  <c r="U83" i="2"/>
  <c r="X78" i="2"/>
  <c r="X57" i="2"/>
  <c r="Y81" i="2"/>
  <c r="V78" i="2"/>
  <c r="V57" i="2"/>
  <c r="AL113" i="2" l="1"/>
  <c r="AN111" i="2"/>
  <c r="AM113" i="2"/>
  <c r="V83" i="2"/>
  <c r="AL83" i="2" s="1"/>
  <c r="AQ102" i="2"/>
  <c r="AR102" i="2" s="1"/>
  <c r="AM81" i="2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Z29" i="2"/>
  <c r="Y16" i="2"/>
  <c r="Y12" i="2"/>
  <c r="Y29" i="2"/>
  <c r="AJ29" i="2"/>
  <c r="AI29" i="2"/>
  <c r="X29" i="2"/>
  <c r="W29" i="2"/>
  <c r="V29" i="2"/>
  <c r="U29" i="2"/>
  <c r="T29" i="2"/>
  <c r="S29" i="2"/>
  <c r="O29" i="2"/>
  <c r="AO111" i="2" l="1"/>
  <c r="AN113" i="2"/>
  <c r="AS102" i="2"/>
  <c r="X16" i="2"/>
  <c r="X12" i="2"/>
  <c r="AP111" i="2" l="1"/>
  <c r="AO113" i="2"/>
  <c r="AT102" i="2"/>
  <c r="BC30" i="2"/>
  <c r="AQ111" i="2" l="1"/>
  <c r="AP113" i="2"/>
  <c r="AU102" i="2"/>
  <c r="AM11" i="2"/>
  <c r="AJ24" i="2"/>
  <c r="AI24" i="2"/>
  <c r="AJ23" i="2"/>
  <c r="AI23" i="2"/>
  <c r="AJ22" i="2"/>
  <c r="AI22" i="2"/>
  <c r="AH16" i="2"/>
  <c r="AH12" i="2"/>
  <c r="AH6" i="2"/>
  <c r="AH8" i="2" s="1"/>
  <c r="AH26" i="2" s="1"/>
  <c r="AI16" i="2"/>
  <c r="AI12" i="2"/>
  <c r="AI6" i="2"/>
  <c r="AI8" i="2" s="1"/>
  <c r="AI26" i="2" s="1"/>
  <c r="AJ16" i="2"/>
  <c r="AJ12" i="2"/>
  <c r="AJ6" i="2"/>
  <c r="AJ8" i="2" s="1"/>
  <c r="AJ26" i="2" s="1"/>
  <c r="AK17" i="2"/>
  <c r="AK16" i="2"/>
  <c r="AK14" i="2"/>
  <c r="AK11" i="2"/>
  <c r="AK29" i="2" s="1"/>
  <c r="AK10" i="2"/>
  <c r="AK9" i="2"/>
  <c r="AK7" i="2"/>
  <c r="AK5" i="2"/>
  <c r="AK24" i="2" s="1"/>
  <c r="AK4" i="2"/>
  <c r="AK23" i="2" s="1"/>
  <c r="AK3" i="2"/>
  <c r="AK22" i="2" s="1"/>
  <c r="AL17" i="2"/>
  <c r="AL14" i="2"/>
  <c r="AL11" i="2"/>
  <c r="AL10" i="2"/>
  <c r="AL9" i="2"/>
  <c r="AL5" i="2"/>
  <c r="AL4" i="2"/>
  <c r="AL3" i="2"/>
  <c r="AM14" i="2"/>
  <c r="Y22" i="2"/>
  <c r="X22" i="2"/>
  <c r="Z24" i="2"/>
  <c r="Y24" i="2"/>
  <c r="X24" i="2"/>
  <c r="Z23" i="2"/>
  <c r="X23" i="2"/>
  <c r="W24" i="2"/>
  <c r="V24" i="2"/>
  <c r="U24" i="2"/>
  <c r="T24" i="2"/>
  <c r="S24" i="2"/>
  <c r="O24" i="2"/>
  <c r="Y23" i="2"/>
  <c r="W23" i="2"/>
  <c r="V23" i="2"/>
  <c r="U23" i="2"/>
  <c r="T23" i="2"/>
  <c r="S23" i="2"/>
  <c r="O23" i="2"/>
  <c r="W22" i="2"/>
  <c r="V22" i="2"/>
  <c r="U22" i="2"/>
  <c r="T22" i="2"/>
  <c r="S22" i="2"/>
  <c r="O22" i="2"/>
  <c r="K12" i="2"/>
  <c r="K6" i="2"/>
  <c r="K8" i="2" s="1"/>
  <c r="K26" i="2" s="1"/>
  <c r="O12" i="2"/>
  <c r="O6" i="2"/>
  <c r="O8" i="2" s="1"/>
  <c r="O26" i="2" s="1"/>
  <c r="P12" i="2"/>
  <c r="P6" i="2"/>
  <c r="P8" i="2" s="1"/>
  <c r="P26" i="2" s="1"/>
  <c r="T12" i="2"/>
  <c r="T6" i="2"/>
  <c r="T8" i="2" s="1"/>
  <c r="Q12" i="2"/>
  <c r="Q6" i="2"/>
  <c r="Q8" i="2" s="1"/>
  <c r="Q26" i="2" s="1"/>
  <c r="U12" i="2"/>
  <c r="U6" i="2"/>
  <c r="U8" i="2" s="1"/>
  <c r="U26" i="2" s="1"/>
  <c r="R12" i="2"/>
  <c r="R6" i="2"/>
  <c r="R8" i="2" s="1"/>
  <c r="R26" i="2" s="1"/>
  <c r="V12" i="2"/>
  <c r="V7" i="2"/>
  <c r="AL7" i="2" s="1"/>
  <c r="V6" i="2"/>
  <c r="V27" i="2" s="1"/>
  <c r="S16" i="2"/>
  <c r="S12" i="2"/>
  <c r="S6" i="2"/>
  <c r="S8" i="2" s="1"/>
  <c r="S26" i="2" s="1"/>
  <c r="W16" i="2"/>
  <c r="W12" i="2"/>
  <c r="W6" i="2"/>
  <c r="W8" i="2" s="1"/>
  <c r="F3" i="1"/>
  <c r="D9" i="1"/>
  <c r="D8" i="1"/>
  <c r="AL23" i="2" l="1"/>
  <c r="AL22" i="2"/>
  <c r="AR111" i="2"/>
  <c r="AQ113" i="2"/>
  <c r="AV102" i="2"/>
  <c r="AL29" i="2"/>
  <c r="AL12" i="2"/>
  <c r="Q28" i="2"/>
  <c r="AM29" i="2"/>
  <c r="AK12" i="2"/>
  <c r="K28" i="2"/>
  <c r="O28" i="2"/>
  <c r="T28" i="2"/>
  <c r="AH28" i="2"/>
  <c r="W13" i="2"/>
  <c r="W15" i="2" s="1"/>
  <c r="W31" i="2" s="1"/>
  <c r="D10" i="1"/>
  <c r="T27" i="2"/>
  <c r="P27" i="2"/>
  <c r="AM4" i="2"/>
  <c r="AI25" i="2"/>
  <c r="AJ28" i="2"/>
  <c r="V28" i="2"/>
  <c r="T25" i="2"/>
  <c r="U27" i="2"/>
  <c r="Q27" i="2"/>
  <c r="X6" i="2"/>
  <c r="X25" i="2" s="1"/>
  <c r="AM5" i="2"/>
  <c r="AO5" i="2" s="1"/>
  <c r="AP5" i="2" s="1"/>
  <c r="AQ5" i="2" s="1"/>
  <c r="AR5" i="2" s="1"/>
  <c r="AJ25" i="2"/>
  <c r="AH27" i="2"/>
  <c r="W25" i="2"/>
  <c r="R27" i="2"/>
  <c r="Y6" i="2"/>
  <c r="Y8" i="2" s="1"/>
  <c r="AI27" i="2"/>
  <c r="K27" i="2"/>
  <c r="S28" i="2"/>
  <c r="P28" i="2"/>
  <c r="AJ27" i="2"/>
  <c r="T13" i="2"/>
  <c r="T26" i="2"/>
  <c r="O27" i="2"/>
  <c r="U28" i="2"/>
  <c r="R28" i="2"/>
  <c r="Z6" i="2"/>
  <c r="Z8" i="2" s="1"/>
  <c r="AL16" i="2"/>
  <c r="S27" i="2"/>
  <c r="AM3" i="2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L24" i="2"/>
  <c r="AI28" i="2"/>
  <c r="AM12" i="2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H13" i="2"/>
  <c r="AI13" i="2"/>
  <c r="AJ13" i="2"/>
  <c r="AK6" i="2"/>
  <c r="AK28" i="2" s="1"/>
  <c r="AL6" i="2"/>
  <c r="Z22" i="2"/>
  <c r="W27" i="2"/>
  <c r="W28" i="2"/>
  <c r="W26" i="2"/>
  <c r="V25" i="2"/>
  <c r="U25" i="2"/>
  <c r="O25" i="2"/>
  <c r="S25" i="2"/>
  <c r="Q13" i="2"/>
  <c r="K13" i="2"/>
  <c r="P13" i="2"/>
  <c r="U13" i="2"/>
  <c r="O13" i="2"/>
  <c r="R13" i="2"/>
  <c r="V8" i="2"/>
  <c r="S13" i="2"/>
  <c r="AS111" i="2" l="1"/>
  <c r="AR113" i="2"/>
  <c r="BC27" i="2"/>
  <c r="BA120" i="2"/>
  <c r="AW102" i="2"/>
  <c r="W30" i="2"/>
  <c r="Z28" i="2"/>
  <c r="W18" i="2"/>
  <c r="W80" i="2" s="1"/>
  <c r="W110" i="2" s="1"/>
  <c r="W114" i="2" s="1"/>
  <c r="AN29" i="2"/>
  <c r="AO11" i="2"/>
  <c r="AL25" i="2"/>
  <c r="Z27" i="2"/>
  <c r="AM23" i="2"/>
  <c r="Z25" i="2"/>
  <c r="Y27" i="2"/>
  <c r="Y25" i="2"/>
  <c r="AM6" i="2"/>
  <c r="T15" i="2"/>
  <c r="T30" i="2"/>
  <c r="P15" i="2"/>
  <c r="P30" i="2"/>
  <c r="AN24" i="2"/>
  <c r="AN23" i="2"/>
  <c r="K15" i="2"/>
  <c r="K30" i="2"/>
  <c r="Q15" i="2"/>
  <c r="Q30" i="2"/>
  <c r="AK8" i="2"/>
  <c r="AK25" i="2"/>
  <c r="X28" i="2"/>
  <c r="O15" i="2"/>
  <c r="O30" i="2"/>
  <c r="AJ15" i="2"/>
  <c r="AJ30" i="2"/>
  <c r="AK27" i="2"/>
  <c r="U15" i="2"/>
  <c r="U30" i="2"/>
  <c r="AM24" i="2"/>
  <c r="Y28" i="2"/>
  <c r="AL28" i="2"/>
  <c r="S15" i="2"/>
  <c r="S30" i="2"/>
  <c r="V13" i="2"/>
  <c r="V26" i="2"/>
  <c r="AI15" i="2"/>
  <c r="AI30" i="2"/>
  <c r="R15" i="2"/>
  <c r="R30" i="2"/>
  <c r="AH15" i="2"/>
  <c r="AH30" i="2"/>
  <c r="AM22" i="2"/>
  <c r="AL27" i="2"/>
  <c r="AL8" i="2"/>
  <c r="AT111" i="2" l="1"/>
  <c r="AS113" i="2"/>
  <c r="AM25" i="2"/>
  <c r="W120" i="2"/>
  <c r="W32" i="2"/>
  <c r="W20" i="2"/>
  <c r="AX102" i="2"/>
  <c r="AP11" i="2"/>
  <c r="AO29" i="2"/>
  <c r="AO23" i="2"/>
  <c r="U18" i="2"/>
  <c r="U80" i="2" s="1"/>
  <c r="U31" i="2"/>
  <c r="AK13" i="2"/>
  <c r="AK26" i="2"/>
  <c r="AO24" i="2"/>
  <c r="AL13" i="2"/>
  <c r="AL26" i="2"/>
  <c r="R18" i="2"/>
  <c r="R80" i="2" s="1"/>
  <c r="R31" i="2"/>
  <c r="O18" i="2"/>
  <c r="O80" i="2" s="1"/>
  <c r="O31" i="2"/>
  <c r="Q18" i="2"/>
  <c r="Q80" i="2" s="1"/>
  <c r="Q31" i="2"/>
  <c r="P18" i="2"/>
  <c r="P80" i="2" s="1"/>
  <c r="P31" i="2"/>
  <c r="AI18" i="2"/>
  <c r="AI80" i="2" s="1"/>
  <c r="AI110" i="2" s="1"/>
  <c r="AI114" i="2" s="1"/>
  <c r="AI31" i="2"/>
  <c r="AJ18" i="2"/>
  <c r="AJ80" i="2" s="1"/>
  <c r="AJ110" i="2" s="1"/>
  <c r="AJ114" i="2" s="1"/>
  <c r="AJ31" i="2"/>
  <c r="X27" i="2"/>
  <c r="AM9" i="2"/>
  <c r="AM27" i="2" s="1"/>
  <c r="AH18" i="2"/>
  <c r="AH31" i="2"/>
  <c r="AM10" i="2"/>
  <c r="AM28" i="2" s="1"/>
  <c r="K18" i="2"/>
  <c r="K31" i="2"/>
  <c r="S18" i="2"/>
  <c r="S80" i="2" s="1"/>
  <c r="S31" i="2"/>
  <c r="AN6" i="2"/>
  <c r="AN22" i="2"/>
  <c r="V15" i="2"/>
  <c r="V30" i="2"/>
  <c r="T18" i="2"/>
  <c r="T80" i="2" s="1"/>
  <c r="T31" i="2"/>
  <c r="AP23" i="2"/>
  <c r="D5" i="1"/>
  <c r="AU111" i="2" l="1"/>
  <c r="AT113" i="2"/>
  <c r="D11" i="1"/>
  <c r="Q120" i="2"/>
  <c r="Q149" i="2" s="1"/>
  <c r="Q110" i="2"/>
  <c r="Q114" i="2" s="1"/>
  <c r="P120" i="2"/>
  <c r="P149" i="2" s="1"/>
  <c r="P110" i="2"/>
  <c r="P114" i="2" s="1"/>
  <c r="S120" i="2"/>
  <c r="S110" i="2"/>
  <c r="S114" i="2" s="1"/>
  <c r="O120" i="2"/>
  <c r="O110" i="2"/>
  <c r="O114" i="2" s="1"/>
  <c r="T120" i="2"/>
  <c r="T149" i="2" s="1"/>
  <c r="T110" i="2"/>
  <c r="T114" i="2" s="1"/>
  <c r="U120" i="2"/>
  <c r="U149" i="2" s="1"/>
  <c r="U110" i="2"/>
  <c r="U114" i="2" s="1"/>
  <c r="R120" i="2"/>
  <c r="R149" i="2" s="1"/>
  <c r="R110" i="2"/>
  <c r="R114" i="2" s="1"/>
  <c r="AQ11" i="2"/>
  <c r="AP29" i="2"/>
  <c r="P20" i="2"/>
  <c r="P32" i="2"/>
  <c r="AH20" i="2"/>
  <c r="AH32" i="2"/>
  <c r="AJ20" i="2"/>
  <c r="AJ32" i="2"/>
  <c r="Q20" i="2"/>
  <c r="Q32" i="2"/>
  <c r="S20" i="2"/>
  <c r="S32" i="2"/>
  <c r="O20" i="2"/>
  <c r="O32" i="2"/>
  <c r="T20" i="2"/>
  <c r="T32" i="2"/>
  <c r="K20" i="2"/>
  <c r="K32" i="2"/>
  <c r="AI20" i="2"/>
  <c r="AI32" i="2"/>
  <c r="R20" i="2"/>
  <c r="R32" i="2"/>
  <c r="U20" i="2"/>
  <c r="U32" i="2"/>
  <c r="AN28" i="2"/>
  <c r="AN27" i="2"/>
  <c r="AP24" i="2"/>
  <c r="AO6" i="2"/>
  <c r="AO22" i="2"/>
  <c r="AK15" i="2"/>
  <c r="AK30" i="2"/>
  <c r="V18" i="2"/>
  <c r="V80" i="2" s="1"/>
  <c r="V31" i="2"/>
  <c r="AN25" i="2"/>
  <c r="AL15" i="2"/>
  <c r="AL30" i="2"/>
  <c r="AQ23" i="2"/>
  <c r="AO10" i="2" l="1"/>
  <c r="AO28" i="2" s="1"/>
  <c r="AO8" i="2"/>
  <c r="AV111" i="2"/>
  <c r="AU113" i="2"/>
  <c r="V120" i="2"/>
  <c r="V149" i="2" s="1"/>
  <c r="V110" i="2"/>
  <c r="V114" i="2" s="1"/>
  <c r="AR11" i="2"/>
  <c r="AS11" i="2" s="1"/>
  <c r="AT11" i="2" s="1"/>
  <c r="AU11" i="2" s="1"/>
  <c r="AV11" i="2" s="1"/>
  <c r="AW11" i="2" s="1"/>
  <c r="AX11" i="2" s="1"/>
  <c r="AQ29" i="2"/>
  <c r="V20" i="2"/>
  <c r="V32" i="2"/>
  <c r="AO9" i="2"/>
  <c r="AO27" i="2" s="1"/>
  <c r="AO25" i="2"/>
  <c r="AO7" i="2"/>
  <c r="AQ24" i="2"/>
  <c r="AN26" i="2"/>
  <c r="AN13" i="2"/>
  <c r="AK18" i="2"/>
  <c r="AK80" i="2" s="1"/>
  <c r="AK110" i="2" s="1"/>
  <c r="AK114" i="2" s="1"/>
  <c r="AK31" i="2"/>
  <c r="AL18" i="2"/>
  <c r="AL80" i="2" s="1"/>
  <c r="AL110" i="2" s="1"/>
  <c r="AL114" i="2" s="1"/>
  <c r="AL31" i="2"/>
  <c r="AP22" i="2"/>
  <c r="AP6" i="2"/>
  <c r="AP8" i="2" s="1"/>
  <c r="AR23" i="2"/>
  <c r="AW111" i="2" l="1"/>
  <c r="AV113" i="2"/>
  <c r="AP9" i="2"/>
  <c r="AP27" i="2" s="1"/>
  <c r="AP10" i="2"/>
  <c r="AP28" i="2" s="1"/>
  <c r="AR29" i="2"/>
  <c r="AL20" i="2"/>
  <c r="AL32" i="2"/>
  <c r="AK20" i="2"/>
  <c r="AK32" i="2"/>
  <c r="AN30" i="2"/>
  <c r="AN15" i="2"/>
  <c r="AO13" i="2"/>
  <c r="AO26" i="2"/>
  <c r="AQ6" i="2"/>
  <c r="AQ8" i="2" s="1"/>
  <c r="AQ22" i="2"/>
  <c r="AP25" i="2"/>
  <c r="AP7" i="2"/>
  <c r="AS5" i="2"/>
  <c r="AR24" i="2"/>
  <c r="AS23" i="2"/>
  <c r="AX111" i="2" l="1"/>
  <c r="AX113" i="2" s="1"/>
  <c r="AW113" i="2"/>
  <c r="AQ9" i="2"/>
  <c r="AQ27" i="2" s="1"/>
  <c r="AQ10" i="2"/>
  <c r="AQ28" i="2" s="1"/>
  <c r="AS29" i="2"/>
  <c r="AP13" i="2"/>
  <c r="AP26" i="2"/>
  <c r="AN31" i="2"/>
  <c r="AR6" i="2"/>
  <c r="AR8" i="2" s="1"/>
  <c r="AR22" i="2"/>
  <c r="AO30" i="2"/>
  <c r="AO15" i="2"/>
  <c r="AT5" i="2"/>
  <c r="AS24" i="2"/>
  <c r="AQ25" i="2"/>
  <c r="AT23" i="2"/>
  <c r="AR9" i="2" l="1"/>
  <c r="AR27" i="2" s="1"/>
  <c r="AR10" i="2"/>
  <c r="AR28" i="2" s="1"/>
  <c r="AT29" i="2"/>
  <c r="AN18" i="2"/>
  <c r="AQ7" i="2"/>
  <c r="AQ13" i="2"/>
  <c r="AQ26" i="2"/>
  <c r="AU5" i="2"/>
  <c r="AT24" i="2"/>
  <c r="AS6" i="2"/>
  <c r="AS8" i="2" s="1"/>
  <c r="AS22" i="2"/>
  <c r="AO31" i="2"/>
  <c r="AO17" i="2"/>
  <c r="AP30" i="2"/>
  <c r="AP15" i="2"/>
  <c r="AR25" i="2"/>
  <c r="AU23" i="2"/>
  <c r="AN80" i="2" l="1"/>
  <c r="AN110" i="2" s="1"/>
  <c r="AN114" i="2" s="1"/>
  <c r="AS9" i="2"/>
  <c r="AS27" i="2" s="1"/>
  <c r="AS10" i="2"/>
  <c r="AS28" i="2" s="1"/>
  <c r="AU29" i="2"/>
  <c r="AN20" i="2"/>
  <c r="AN32" i="2"/>
  <c r="AS7" i="2"/>
  <c r="AS25" i="2"/>
  <c r="AT6" i="2"/>
  <c r="AT8" i="2" s="1"/>
  <c r="AT22" i="2"/>
  <c r="AP31" i="2"/>
  <c r="AP17" i="2"/>
  <c r="AV5" i="2"/>
  <c r="AU24" i="2"/>
  <c r="AO18" i="2"/>
  <c r="AQ15" i="2"/>
  <c r="AQ30" i="2"/>
  <c r="AR7" i="2"/>
  <c r="AR13" i="2"/>
  <c r="AR26" i="2"/>
  <c r="AV23" i="2"/>
  <c r="AO80" i="2" l="1"/>
  <c r="AO110" i="2" s="1"/>
  <c r="AO114" i="2" s="1"/>
  <c r="AT9" i="2"/>
  <c r="AT27" i="2" s="1"/>
  <c r="AT10" i="2"/>
  <c r="AV29" i="2"/>
  <c r="AO32" i="2"/>
  <c r="AT28" i="2"/>
  <c r="AU6" i="2"/>
  <c r="AU8" i="2" s="1"/>
  <c r="AU22" i="2"/>
  <c r="AO20" i="2"/>
  <c r="AQ17" i="2"/>
  <c r="AQ31" i="2"/>
  <c r="AS13" i="2"/>
  <c r="AS26" i="2"/>
  <c r="AT7" i="2"/>
  <c r="AT25" i="2"/>
  <c r="AW5" i="2"/>
  <c r="AV24" i="2"/>
  <c r="AR15" i="2"/>
  <c r="AR30" i="2"/>
  <c r="AP18" i="2"/>
  <c r="AW23" i="2"/>
  <c r="AX23" i="2"/>
  <c r="AP80" i="2" l="1"/>
  <c r="AP110" i="2" s="1"/>
  <c r="AP114" i="2" s="1"/>
  <c r="AU9" i="2"/>
  <c r="AU27" i="2" s="1"/>
  <c r="AU10" i="2"/>
  <c r="AU28" i="2" s="1"/>
  <c r="AX29" i="2"/>
  <c r="AW29" i="2"/>
  <c r="AP32" i="2"/>
  <c r="AP20" i="2"/>
  <c r="AX5" i="2"/>
  <c r="AX24" i="2" s="1"/>
  <c r="AW24" i="2"/>
  <c r="AQ18" i="2"/>
  <c r="AU7" i="2"/>
  <c r="AU25" i="2"/>
  <c r="AT13" i="2"/>
  <c r="AT26" i="2"/>
  <c r="AR31" i="2"/>
  <c r="AR17" i="2"/>
  <c r="AS15" i="2"/>
  <c r="AS30" i="2"/>
  <c r="AV6" i="2"/>
  <c r="AV8" i="2" s="1"/>
  <c r="AV22" i="2"/>
  <c r="AQ80" i="2" l="1"/>
  <c r="AQ110" i="2" s="1"/>
  <c r="AQ114" i="2" s="1"/>
  <c r="AV9" i="2"/>
  <c r="AV27" i="2" s="1"/>
  <c r="AV10" i="2"/>
  <c r="AV28" i="2" s="1"/>
  <c r="AQ32" i="2"/>
  <c r="AR18" i="2"/>
  <c r="AR80" i="2" s="1"/>
  <c r="AR110" i="2" s="1"/>
  <c r="AR114" i="2" s="1"/>
  <c r="AV25" i="2"/>
  <c r="AS17" i="2"/>
  <c r="AS31" i="2"/>
  <c r="AU13" i="2"/>
  <c r="AU26" i="2"/>
  <c r="AQ20" i="2"/>
  <c r="AW6" i="2"/>
  <c r="AW8" i="2" s="1"/>
  <c r="AW22" i="2"/>
  <c r="AT15" i="2"/>
  <c r="AT30" i="2"/>
  <c r="AW9" i="2" l="1"/>
  <c r="AW27" i="2" s="1"/>
  <c r="AW10" i="2"/>
  <c r="AW28" i="2" s="1"/>
  <c r="AR20" i="2"/>
  <c r="AR32" i="2"/>
  <c r="AS18" i="2"/>
  <c r="AS80" i="2" s="1"/>
  <c r="AS110" i="2" s="1"/>
  <c r="AS114" i="2" s="1"/>
  <c r="AT17" i="2"/>
  <c r="AT31" i="2"/>
  <c r="AX6" i="2"/>
  <c r="AX8" i="2" s="1"/>
  <c r="AX22" i="2"/>
  <c r="AW25" i="2"/>
  <c r="AW7" i="2"/>
  <c r="AV13" i="2"/>
  <c r="AV26" i="2"/>
  <c r="AV7" i="2"/>
  <c r="AU30" i="2"/>
  <c r="AU15" i="2"/>
  <c r="AX9" i="2" l="1"/>
  <c r="AX27" i="2" s="1"/>
  <c r="AX10" i="2"/>
  <c r="AX28" i="2" s="1"/>
  <c r="AS20" i="2"/>
  <c r="AS32" i="2"/>
  <c r="AU31" i="2"/>
  <c r="AU17" i="2"/>
  <c r="AV15" i="2"/>
  <c r="AV30" i="2"/>
  <c r="AX25" i="2"/>
  <c r="AT18" i="2"/>
  <c r="AW13" i="2"/>
  <c r="AW26" i="2"/>
  <c r="AT32" i="2" l="1"/>
  <c r="AT80" i="2"/>
  <c r="AT110" i="2" s="1"/>
  <c r="AT114" i="2" s="1"/>
  <c r="AU18" i="2"/>
  <c r="AU80" i="2" s="1"/>
  <c r="AU110" i="2" s="1"/>
  <c r="AU114" i="2" s="1"/>
  <c r="AT20" i="2"/>
  <c r="AX13" i="2"/>
  <c r="AX26" i="2"/>
  <c r="AW15" i="2"/>
  <c r="AW30" i="2"/>
  <c r="AV31" i="2"/>
  <c r="AV17" i="2"/>
  <c r="AX7" i="2"/>
  <c r="AU20" i="2" l="1"/>
  <c r="AU32" i="2"/>
  <c r="AW31" i="2"/>
  <c r="AW17" i="2"/>
  <c r="AX15" i="2"/>
  <c r="AX30" i="2"/>
  <c r="AV18" i="2"/>
  <c r="AV80" i="2" s="1"/>
  <c r="AV110" i="2" s="1"/>
  <c r="AV114" i="2" s="1"/>
  <c r="AV20" i="2" l="1"/>
  <c r="AV32" i="2"/>
  <c r="AX31" i="2"/>
  <c r="AX17" i="2"/>
  <c r="AW18" i="2"/>
  <c r="AW80" i="2" s="1"/>
  <c r="AW110" i="2" s="1"/>
  <c r="AW114" i="2" s="1"/>
  <c r="AW20" i="2" l="1"/>
  <c r="AW32" i="2"/>
  <c r="AX18" i="2"/>
  <c r="AX80" i="2" l="1"/>
  <c r="AX110" i="2" s="1"/>
  <c r="AX114" i="2" s="1"/>
  <c r="AY114" i="2" s="1"/>
  <c r="AY18" i="2"/>
  <c r="AX32" i="2"/>
  <c r="AX20" i="2"/>
  <c r="X8" i="2"/>
  <c r="X26" i="2" s="1"/>
  <c r="AZ18" i="2" l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AZ114" i="2"/>
  <c r="BA114" i="2" s="1"/>
  <c r="BB114" i="2" s="1"/>
  <c r="BC114" i="2" s="1"/>
  <c r="BD114" i="2" s="1"/>
  <c r="BE114" i="2" s="1"/>
  <c r="BF114" i="2" s="1"/>
  <c r="BG114" i="2" s="1"/>
  <c r="BH114" i="2" s="1"/>
  <c r="BI114" i="2" s="1"/>
  <c r="BJ114" i="2" s="1"/>
  <c r="BK114" i="2" s="1"/>
  <c r="BL114" i="2" s="1"/>
  <c r="BM114" i="2" s="1"/>
  <c r="BN114" i="2" s="1"/>
  <c r="BO114" i="2" s="1"/>
  <c r="BP114" i="2" s="1"/>
  <c r="BQ114" i="2" s="1"/>
  <c r="BR114" i="2" s="1"/>
  <c r="BS114" i="2" s="1"/>
  <c r="BT114" i="2" s="1"/>
  <c r="BU114" i="2" s="1"/>
  <c r="BV114" i="2" s="1"/>
  <c r="BW114" i="2" s="1"/>
  <c r="BX114" i="2" s="1"/>
  <c r="BY114" i="2" s="1"/>
  <c r="BZ114" i="2" s="1"/>
  <c r="CA114" i="2" s="1"/>
  <c r="CB114" i="2" s="1"/>
  <c r="CC114" i="2" s="1"/>
  <c r="CD114" i="2" s="1"/>
  <c r="CE114" i="2" s="1"/>
  <c r="CF114" i="2" s="1"/>
  <c r="CG114" i="2" s="1"/>
  <c r="CH114" i="2" s="1"/>
  <c r="CI114" i="2" s="1"/>
  <c r="CJ114" i="2" s="1"/>
  <c r="CK114" i="2" s="1"/>
  <c r="CL114" i="2" s="1"/>
  <c r="CM114" i="2" s="1"/>
  <c r="CN114" i="2" s="1"/>
  <c r="CO114" i="2" s="1"/>
  <c r="CP114" i="2" s="1"/>
  <c r="CQ114" i="2" s="1"/>
  <c r="CR114" i="2" s="1"/>
  <c r="CS114" i="2" s="1"/>
  <c r="CT114" i="2" s="1"/>
  <c r="CU114" i="2" s="1"/>
  <c r="CV114" i="2" s="1"/>
  <c r="CW114" i="2" s="1"/>
  <c r="CX114" i="2" s="1"/>
  <c r="CY114" i="2" s="1"/>
  <c r="CZ114" i="2" s="1"/>
  <c r="DA114" i="2" s="1"/>
  <c r="DB114" i="2" s="1"/>
  <c r="DC114" i="2" s="1"/>
  <c r="DD114" i="2" s="1"/>
  <c r="DE114" i="2" s="1"/>
  <c r="DF114" i="2" s="1"/>
  <c r="DG114" i="2" s="1"/>
  <c r="DH114" i="2" s="1"/>
  <c r="DI114" i="2" s="1"/>
  <c r="DJ114" i="2" s="1"/>
  <c r="DK114" i="2" s="1"/>
  <c r="DL114" i="2" s="1"/>
  <c r="DM114" i="2" s="1"/>
  <c r="DN114" i="2" s="1"/>
  <c r="DO114" i="2" s="1"/>
  <c r="DP114" i="2" s="1"/>
  <c r="DQ114" i="2" s="1"/>
  <c r="DR114" i="2" s="1"/>
  <c r="DS114" i="2" s="1"/>
  <c r="DT114" i="2" s="1"/>
  <c r="DU114" i="2" s="1"/>
  <c r="DV114" i="2" s="1"/>
  <c r="DW114" i="2" s="1"/>
  <c r="DX114" i="2" s="1"/>
  <c r="DY114" i="2" s="1"/>
  <c r="DZ114" i="2" s="1"/>
  <c r="EA114" i="2" s="1"/>
  <c r="EB114" i="2" s="1"/>
  <c r="EC114" i="2" s="1"/>
  <c r="ED114" i="2" s="1"/>
  <c r="EE114" i="2" s="1"/>
  <c r="EF114" i="2" s="1"/>
  <c r="EG114" i="2" s="1"/>
  <c r="EH114" i="2" s="1"/>
  <c r="EI114" i="2" s="1"/>
  <c r="EJ114" i="2" s="1"/>
  <c r="EK114" i="2" s="1"/>
  <c r="EL114" i="2" s="1"/>
  <c r="EM114" i="2" s="1"/>
  <c r="EN114" i="2" s="1"/>
  <c r="EO114" i="2" s="1"/>
  <c r="EP114" i="2" s="1"/>
  <c r="EQ114" i="2" s="1"/>
  <c r="ER114" i="2" s="1"/>
  <c r="X13" i="2"/>
  <c r="X30" i="2" s="1"/>
  <c r="BA118" i="2" l="1"/>
  <c r="BC25" i="2"/>
  <c r="X15" i="2"/>
  <c r="X18" i="2" s="1"/>
  <c r="X80" i="2" s="1"/>
  <c r="Z13" i="2"/>
  <c r="Z15" i="2" s="1"/>
  <c r="Y13" i="2"/>
  <c r="Y30" i="2" s="1"/>
  <c r="Z26" i="2"/>
  <c r="Y26" i="2"/>
  <c r="X120" i="2" l="1"/>
  <c r="X149" i="2" s="1"/>
  <c r="X110" i="2"/>
  <c r="X114" i="2" s="1"/>
  <c r="X31" i="2"/>
  <c r="X20" i="2"/>
  <c r="X32" i="2"/>
  <c r="AM7" i="2"/>
  <c r="AM8" i="2" s="1"/>
  <c r="AM13" i="2" s="1"/>
  <c r="Z30" i="2"/>
  <c r="Y15" i="2"/>
  <c r="Z31" i="2"/>
  <c r="AM26" i="2" l="1"/>
  <c r="AM17" i="2"/>
  <c r="AM16" i="2"/>
  <c r="AM15" i="2"/>
  <c r="AM30" i="2"/>
  <c r="Z18" i="2"/>
  <c r="Z80" i="2" s="1"/>
  <c r="Z110" i="2" l="1"/>
  <c r="Z114" i="2" s="1"/>
  <c r="Y31" i="2"/>
  <c r="Y18" i="2"/>
  <c r="Z20" i="2"/>
  <c r="Z32" i="2"/>
  <c r="AM18" i="2"/>
  <c r="AM31" i="2"/>
  <c r="AM80" i="2" l="1"/>
  <c r="AM110" i="2" s="1"/>
  <c r="AM114" i="2" s="1"/>
  <c r="BA119" i="2" s="1"/>
  <c r="BA121" i="2" s="1"/>
  <c r="BA122" i="2" s="1"/>
  <c r="BA124" i="2" s="1"/>
  <c r="Y20" i="2"/>
  <c r="Y80" i="2"/>
  <c r="Y110" i="2" s="1"/>
  <c r="Y114" i="2" s="1"/>
  <c r="Y32" i="2"/>
  <c r="BC26" i="2"/>
  <c r="BC28" i="2" s="1"/>
  <c r="BC29" i="2" s="1"/>
  <c r="BC31" i="2" s="1"/>
  <c r="AM32" i="2"/>
  <c r="AM20" i="2"/>
  <c r="Y120" i="2" l="1"/>
  <c r="Y149" i="2" s="1"/>
  <c r="Z120" i="2"/>
</calcChain>
</file>

<file path=xl/sharedStrings.xml><?xml version="1.0" encoding="utf-8"?>
<sst xmlns="http://schemas.openxmlformats.org/spreadsheetml/2006/main" count="206" uniqueCount="130">
  <si>
    <t>Price</t>
  </si>
  <si>
    <t>Shares</t>
  </si>
  <si>
    <t>MC</t>
  </si>
  <si>
    <t>Net Cash</t>
  </si>
  <si>
    <t>EV</t>
  </si>
  <si>
    <t>Cash R$</t>
  </si>
  <si>
    <t>Debt R$</t>
  </si>
  <si>
    <t>Cash USD</t>
  </si>
  <si>
    <t>Debt USD</t>
  </si>
  <si>
    <t>USD/BRL</t>
  </si>
  <si>
    <t>Last checked</t>
  </si>
  <si>
    <t>Today</t>
  </si>
  <si>
    <t>Earnings</t>
  </si>
  <si>
    <t>Q124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</si>
  <si>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</si>
  <si>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</si>
  <si>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</si>
  <si>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</si>
  <si>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</si>
  <si>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</si>
  <si>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</si>
  <si>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</si>
  <si>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</si>
  <si>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</si>
  <si>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</si>
  <si>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</si>
  <si>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</si>
  <si>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</si>
  <si>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</si>
  <si>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</si>
  <si>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</si>
  <si>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</si>
  <si>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</si>
  <si>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</si>
  <si>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</si>
  <si>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</si>
  <si>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</si>
  <si>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Cost of sales</t>
  </si>
  <si>
    <t>Transaction revenue</t>
  </si>
  <si>
    <t>Subscription revenue</t>
  </si>
  <si>
    <t>Financial revenue</t>
  </si>
  <si>
    <t>Total revenue</t>
  </si>
  <si>
    <t>Administrative expenses</t>
  </si>
  <si>
    <t>Selling expenses</t>
  </si>
  <si>
    <t>Net financial income</t>
  </si>
  <si>
    <t>Other income</t>
  </si>
  <si>
    <t>Gross profit</t>
  </si>
  <si>
    <t>Operating profit</t>
  </si>
  <si>
    <t>Investment in associates</t>
  </si>
  <si>
    <t>Pretax income</t>
  </si>
  <si>
    <t>Taxes</t>
  </si>
  <si>
    <t>MI</t>
  </si>
  <si>
    <t>Net income</t>
  </si>
  <si>
    <t>EPS</t>
  </si>
  <si>
    <t>Revenue y/y</t>
  </si>
  <si>
    <t>Gross Margin</t>
  </si>
  <si>
    <t>Operating Margin</t>
  </si>
  <si>
    <t>Transaction y/y</t>
  </si>
  <si>
    <t>Subscription y/y</t>
  </si>
  <si>
    <t>Financial y/y</t>
  </si>
  <si>
    <t>Selling Margin</t>
  </si>
  <si>
    <t>Admin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</si>
  <si>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</si>
  <si>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</si>
  <si>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</si>
  <si>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</si>
  <si>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</si>
  <si>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</si>
  <si>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</si>
  <si>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</si>
  <si>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NPV USD</t>
  </si>
  <si>
    <t>Consensus</t>
  </si>
  <si>
    <t>Net Margin</t>
  </si>
  <si>
    <t>Cash</t>
  </si>
  <si>
    <t>Investments</t>
  </si>
  <si>
    <t>Financial assets</t>
  </si>
  <si>
    <t>A/R</t>
  </si>
  <si>
    <t>Financial expense y/y</t>
  </si>
  <si>
    <t>detail net financial income</t>
  </si>
  <si>
    <t>T/R</t>
  </si>
  <si>
    <t>L/R</t>
  </si>
  <si>
    <t>D/T</t>
  </si>
  <si>
    <t>Prepaids</t>
  </si>
  <si>
    <t>Derivatives</t>
  </si>
  <si>
    <t>OCA</t>
  </si>
  <si>
    <t>O/R</t>
  </si>
  <si>
    <t>ONCA</t>
  </si>
  <si>
    <t>Other investments</t>
  </si>
  <si>
    <t>PP&amp;E</t>
  </si>
  <si>
    <t>Intangibles</t>
  </si>
  <si>
    <t>Deposits</t>
  </si>
  <si>
    <t>A/P</t>
  </si>
  <si>
    <t>T/P</t>
  </si>
  <si>
    <t>Debt</t>
  </si>
  <si>
    <t>Other debt</t>
  </si>
  <si>
    <t>O/P</t>
  </si>
  <si>
    <t>OCL</t>
  </si>
  <si>
    <t>Provisions</t>
  </si>
  <si>
    <t>ONCL</t>
  </si>
  <si>
    <t>S/E</t>
  </si>
  <si>
    <t>L+S/E</t>
  </si>
  <si>
    <t>Current assets</t>
  </si>
  <si>
    <t>Non-current assets</t>
  </si>
  <si>
    <t>Current liabilties</t>
  </si>
  <si>
    <t>Non-current liabilties</t>
  </si>
  <si>
    <t>Total assets</t>
  </si>
  <si>
    <t>Net profit</t>
  </si>
  <si>
    <t>D&amp;A</t>
  </si>
  <si>
    <t>Net financial expense</t>
  </si>
  <si>
    <t>SBC</t>
  </si>
  <si>
    <t>Credit provisions</t>
  </si>
  <si>
    <t>Financial adjustments</t>
  </si>
  <si>
    <t>Loss on subsidiary</t>
  </si>
  <si>
    <t>Financial instruments</t>
  </si>
  <si>
    <t>Subsidiaries</t>
  </si>
  <si>
    <t>Other</t>
  </si>
  <si>
    <t>Interest expense</t>
  </si>
  <si>
    <t>Interest income</t>
  </si>
  <si>
    <t>CFFO</t>
  </si>
  <si>
    <t>FCF</t>
  </si>
  <si>
    <t>Cumulative</t>
  </si>
  <si>
    <t>Cumulative CFFO</t>
  </si>
  <si>
    <t>NPV (FCF)</t>
  </si>
  <si>
    <t>Q125</t>
  </si>
  <si>
    <t>Q225</t>
  </si>
  <si>
    <t>Q325</t>
  </si>
  <si>
    <t>Q425</t>
  </si>
  <si>
    <t>Total CapEx</t>
  </si>
  <si>
    <t>Impairment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</si>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</sst>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[$R$-416]\ #,##0.00"/>
    <numFmt numFmtId="166" formatCode="#,##0;[Red]#,##0"/>
    <numFmt numFmtId="167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1" fillId="0" borderId="0" xfId="0" applyFont="1"/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66" fontId="0" fillId="0" borderId="0" xfId="0" applyNumberFormat="1"/>
    <xf numFmtId="3" fontId="4" fillId="0" borderId="0" xfId="0" applyNumberFormat="1" applyFont="1"/>
    <xf numFmtId="167" fontId="0" fillId="0" borderId="0" xfId="0" applyNumberFormat="1"/>
    <xf numFmtId="3" fontId="0" fillId="2" borderId="0" xfId="0" applyNumberFormat="1" applyFill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</xdr:colOff>
      <xdr:row>0</xdr:row>
      <xdr:rowOff>7620</xdr:rowOff>
    </xdr:from>
    <xdr:to>
      <xdr:col>26</xdr:col>
      <xdr:colOff>22860</xdr:colOff>
      <xdr:row>122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E00F1B-051B-6D91-2454-8CB5CA524708}"/>
            </a:ext>
          </a:extLst>
        </xdr:cNvPr>
        <xdr:cNvCxnSpPr/>
      </xdr:nvCxnSpPr>
      <xdr:spPr>
        <a:xfrm>
          <a:off x="16710660" y="7620"/>
          <a:ext cx="0" cy="22410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22860</xdr:colOff>
      <xdr:row>0</xdr:row>
      <xdr:rowOff>0</xdr:rowOff>
    </xdr:from>
    <xdr:to>
      <xdr:col>39</xdr:col>
      <xdr:colOff>22860</xdr:colOff>
      <xdr:row>121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F930833-0127-5178-A0C4-F744FA57E328}"/>
            </a:ext>
          </a:extLst>
        </xdr:cNvPr>
        <xdr:cNvCxnSpPr/>
      </xdr:nvCxnSpPr>
      <xdr:spPr>
        <a:xfrm>
          <a:off x="24635460" y="0"/>
          <a:ext cx="0" cy="22235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7482-E91B-405B-BBED-BE6D3A1C596F}">
  <dimension ref="C2:I13"/>
  <sheetViews>
    <sheetView workbookViewId="0">
      <selection activeCell="F3" sqref="F3"/>
    </sheetView>
  </sheetViews>
  <sheetFormatPr defaultRowHeight="14.4" x14ac:dyDescent="0.3"/>
  <cols>
    <col min="5" max="7" width="13.44140625" customWidth="1"/>
    <col min="8" max="8" width="8.88671875" customWidth="1"/>
  </cols>
  <sheetData>
    <row r="2" spans="3:9" x14ac:dyDescent="0.3">
      <c r="E2" s="5" t="s">
        <v>10</v>
      </c>
      <c r="F2" s="5" t="s">
        <v>11</v>
      </c>
      <c r="G2" s="5" t="s">
        <v>12</v>
      </c>
    </row>
    <row r="3" spans="3:9" x14ac:dyDescent="0.3">
      <c r="C3" t="s">
        <v>0</v>
      </c>
      <c r="D3" s="2">
        <v>13.77</v>
      </c>
      <c r="E3" s="6">
        <v>45780</v>
      </c>
      <c r="F3" s="6">
        <f ca="1">TODAY()</f>
        <v>45780</v>
      </c>
      <c r="G3" s="6">
        <v>45832</v>
      </c>
    </row>
    <row r="4" spans="3:9" x14ac:dyDescent="0.3">
      <c r="C4" t="s">
        <v>1</v>
      </c>
      <c r="D4" s="1">
        <v>293.10000000000002</v>
      </c>
      <c r="E4" s="5" t="s">
        <v>36</v>
      </c>
    </row>
    <row r="5" spans="3:9" x14ac:dyDescent="0.3">
      <c r="C5" t="s">
        <v>2</v>
      </c>
      <c r="D5" s="1">
        <f>D3*D4</f>
        <v>4035.9870000000001</v>
      </c>
    </row>
    <row r="6" spans="3:9" x14ac:dyDescent="0.3">
      <c r="C6" t="s">
        <v>5</v>
      </c>
      <c r="D6" s="1">
        <f>5227.7+517.9+32.6</f>
        <v>5778.2</v>
      </c>
      <c r="E6" s="5" t="s">
        <v>36</v>
      </c>
    </row>
    <row r="7" spans="3:9" x14ac:dyDescent="0.3">
      <c r="C7" t="s">
        <v>6</v>
      </c>
      <c r="D7" s="1">
        <f>3066+1903.8+5430+2496.1</f>
        <v>12895.9</v>
      </c>
      <c r="E7" s="5" t="s">
        <v>36</v>
      </c>
    </row>
    <row r="8" spans="3:9" x14ac:dyDescent="0.3">
      <c r="C8" t="s">
        <v>7</v>
      </c>
      <c r="D8" s="1">
        <f>D6/D13</f>
        <v>1020.8833922261483</v>
      </c>
      <c r="E8" s="5" t="s">
        <v>36</v>
      </c>
      <c r="I8" t="s">
        <v>78</v>
      </c>
    </row>
    <row r="9" spans="3:9" x14ac:dyDescent="0.3">
      <c r="C9" t="s">
        <v>8</v>
      </c>
      <c r="D9" s="1">
        <f>D7/D13</f>
        <v>2278.4275618374559</v>
      </c>
      <c r="E9" s="5" t="s">
        <v>36</v>
      </c>
    </row>
    <row r="10" spans="3:9" x14ac:dyDescent="0.3">
      <c r="C10" t="s">
        <v>3</v>
      </c>
      <c r="D10" s="1">
        <f>D8-D9</f>
        <v>-1257.5441696113076</v>
      </c>
      <c r="E10" s="5"/>
    </row>
    <row r="11" spans="3:9" x14ac:dyDescent="0.3">
      <c r="C11" t="s">
        <v>4</v>
      </c>
      <c r="D11" s="1">
        <f>D5-D10</f>
        <v>5293.5311696113076</v>
      </c>
    </row>
    <row r="13" spans="3:9" x14ac:dyDescent="0.3">
      <c r="C13" t="s">
        <v>9</v>
      </c>
      <c r="D13" s="3">
        <v>5.66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6C2-86A3-4082-9B40-CDF31EC12934}">
  <dimension ref="B2:ER151"/>
  <sheetViews>
    <sheetView tabSelected="1" showRuler="0" zoomScaleNormal="100" workbookViewId="0">
      <pane xSplit="2" ySplit="2" topLeftCell="AR9" activePane="bottomRight" state="frozen"/>
      <selection pane="topRight" activeCell="C1" sqref="C1"/>
      <selection pane="bottomLeft" activeCell="A3" sqref="A3"/>
      <selection pane="bottomRight" activeCell="BC32" sqref="BC32"/>
    </sheetView>
  </sheetViews>
  <sheetFormatPr defaultRowHeight="14.4" x14ac:dyDescent="0.3"/>
  <cols>
    <col min="2" max="2" width="21.109375" bestFit="1" customWidth="1"/>
    <col min="53" max="53" width="10" bestFit="1" customWidth="1"/>
    <col min="54" max="54" width="11.88671875" bestFit="1" customWidth="1"/>
    <col min="55" max="55" width="17.5546875" bestFit="1" customWidth="1"/>
  </cols>
  <sheetData>
    <row r="2" spans="2:50" x14ac:dyDescent="0.3"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32</v>
      </c>
      <c r="V2" s="4" t="s">
        <v>33</v>
      </c>
      <c r="W2" s="4" t="s">
        <v>13</v>
      </c>
      <c r="X2" s="4" t="s">
        <v>34</v>
      </c>
      <c r="Y2" s="4" t="s">
        <v>35</v>
      </c>
      <c r="Z2" s="4" t="s">
        <v>36</v>
      </c>
      <c r="AA2" s="4" t="s">
        <v>123</v>
      </c>
      <c r="AB2" s="4" t="s">
        <v>124</v>
      </c>
      <c r="AC2" s="4" t="s">
        <v>125</v>
      </c>
      <c r="AD2" s="4" t="s">
        <v>126</v>
      </c>
      <c r="AG2">
        <v>2018</v>
      </c>
      <c r="AH2">
        <v>2019</v>
      </c>
      <c r="AI2">
        <v>2020</v>
      </c>
      <c r="AJ2">
        <v>2021</v>
      </c>
      <c r="AK2">
        <v>2022</v>
      </c>
      <c r="AL2">
        <v>2023</v>
      </c>
      <c r="AM2">
        <v>2024</v>
      </c>
      <c r="AN2">
        <v>2025</v>
      </c>
      <c r="AO2">
        <v>2026</v>
      </c>
      <c r="AP2">
        <v>2027</v>
      </c>
      <c r="AQ2">
        <v>2028</v>
      </c>
      <c r="AR2">
        <v>2029</v>
      </c>
      <c r="AS2">
        <v>2030</v>
      </c>
      <c r="AT2">
        <v>2031</v>
      </c>
      <c r="AU2">
        <v>2032</v>
      </c>
      <c r="AV2">
        <v>2033</v>
      </c>
      <c r="AW2">
        <v>2034</v>
      </c>
      <c r="AX2">
        <v>2035</v>
      </c>
    </row>
    <row r="3" spans="2:50" x14ac:dyDescent="0.3">
      <c r="B3" t="s">
        <v>38</v>
      </c>
      <c r="K3" s="1">
        <v>318.3</v>
      </c>
      <c r="O3" s="1">
        <v>554.9</v>
      </c>
      <c r="P3" s="1">
        <v>606.9</v>
      </c>
      <c r="Q3" s="1">
        <v>677.8</v>
      </c>
      <c r="R3" s="1">
        <v>777.8</v>
      </c>
      <c r="S3" s="1">
        <v>733.1</v>
      </c>
      <c r="T3" s="1">
        <v>840.1</v>
      </c>
      <c r="U3" s="1">
        <v>868.5</v>
      </c>
      <c r="V3" s="1">
        <v>868.1</v>
      </c>
      <c r="W3" s="1">
        <v>749.8</v>
      </c>
      <c r="X3" s="1">
        <v>807.5</v>
      </c>
      <c r="Y3" s="1">
        <v>828.9</v>
      </c>
      <c r="Z3" s="1">
        <v>829.8</v>
      </c>
      <c r="AA3" s="1">
        <f>W3*0.96</f>
        <v>719.80799999999988</v>
      </c>
      <c r="AB3" s="1">
        <f t="shared" ref="AB3" si="0">X3*0.96</f>
        <v>775.19999999999993</v>
      </c>
      <c r="AC3" s="1">
        <f>Y3*0.97</f>
        <v>804.0329999999999</v>
      </c>
      <c r="AD3" s="1">
        <f>Z3*0.98</f>
        <v>813.20399999999995</v>
      </c>
      <c r="AH3" s="1">
        <v>770.3</v>
      </c>
      <c r="AI3" s="1">
        <v>1144.0999999999999</v>
      </c>
      <c r="AJ3" s="1">
        <v>1626.9</v>
      </c>
      <c r="AK3" s="1">
        <f>SUM(O3:R3)</f>
        <v>2617.3999999999996</v>
      </c>
      <c r="AL3" s="1">
        <f>SUM(S3:V3)</f>
        <v>3309.7999999999997</v>
      </c>
      <c r="AM3" s="1">
        <f>SUM(W3:Z3)</f>
        <v>3216</v>
      </c>
      <c r="AN3" s="1">
        <f>SUM(AA3:AD3)</f>
        <v>3112.2449999999999</v>
      </c>
      <c r="AO3" s="1">
        <f t="shared" ref="AO3:AX4" si="1">AN3*1.01</f>
        <v>3143.3674499999997</v>
      </c>
      <c r="AP3" s="1">
        <f t="shared" si="1"/>
        <v>3174.8011244999998</v>
      </c>
      <c r="AQ3" s="1">
        <f t="shared" si="1"/>
        <v>3206.5491357449996</v>
      </c>
      <c r="AR3" s="1">
        <f t="shared" si="1"/>
        <v>3238.6146271024495</v>
      </c>
      <c r="AS3" s="1">
        <f t="shared" si="1"/>
        <v>3271.0007733734742</v>
      </c>
      <c r="AT3" s="1">
        <f t="shared" si="1"/>
        <v>3303.7107811072092</v>
      </c>
      <c r="AU3" s="1">
        <f t="shared" si="1"/>
        <v>3336.7478889182812</v>
      </c>
      <c r="AV3" s="1">
        <f t="shared" si="1"/>
        <v>3370.1153678074638</v>
      </c>
      <c r="AW3" s="1">
        <f t="shared" si="1"/>
        <v>3403.8165214855385</v>
      </c>
      <c r="AX3" s="1">
        <f t="shared" si="1"/>
        <v>3437.8546867003938</v>
      </c>
    </row>
    <row r="4" spans="2:50" x14ac:dyDescent="0.3">
      <c r="B4" t="s">
        <v>39</v>
      </c>
      <c r="K4" s="1">
        <v>139.9</v>
      </c>
      <c r="O4" s="1">
        <v>432.2</v>
      </c>
      <c r="P4" s="1">
        <v>437.8</v>
      </c>
      <c r="Q4" s="1">
        <v>426.4</v>
      </c>
      <c r="R4" s="1">
        <v>464.6</v>
      </c>
      <c r="S4" s="1">
        <v>445.1</v>
      </c>
      <c r="T4" s="1">
        <v>457.3</v>
      </c>
      <c r="U4" s="1">
        <v>463.4</v>
      </c>
      <c r="V4" s="1">
        <v>459.1</v>
      </c>
      <c r="W4" s="1">
        <v>456.7</v>
      </c>
      <c r="X4" s="1">
        <v>453.3</v>
      </c>
      <c r="Y4" s="1">
        <v>465.6</v>
      </c>
      <c r="Z4" s="1">
        <v>471.3</v>
      </c>
      <c r="AA4" s="1">
        <f>W4*1.01</f>
        <v>461.267</v>
      </c>
      <c r="AB4" s="1">
        <f>X4*1.03</f>
        <v>466.899</v>
      </c>
      <c r="AC4" s="1">
        <f t="shared" ref="AC4:AD4" si="2">Y4*1.02</f>
        <v>474.91200000000003</v>
      </c>
      <c r="AD4" s="1">
        <f t="shared" si="2"/>
        <v>480.726</v>
      </c>
      <c r="AH4" s="1">
        <v>331.6</v>
      </c>
      <c r="AI4" s="1">
        <v>388</v>
      </c>
      <c r="AJ4" s="1">
        <v>1071.9000000000001</v>
      </c>
      <c r="AK4" s="1">
        <f>SUM(O4:R4)</f>
        <v>1761</v>
      </c>
      <c r="AL4" s="1">
        <f>SUM(S4:V4)</f>
        <v>1824.9</v>
      </c>
      <c r="AM4" s="1">
        <f>SUM(W4:Z4)</f>
        <v>1846.8999999999999</v>
      </c>
      <c r="AN4" s="1">
        <f t="shared" ref="AN4:AN17" si="3">SUM(AA4:AD4)</f>
        <v>1883.8040000000001</v>
      </c>
      <c r="AO4" s="1">
        <f>AN4*1.02</f>
        <v>1921.48008</v>
      </c>
      <c r="AP4" s="1">
        <f t="shared" ref="AP4:AS4" si="4">AO4*1.02</f>
        <v>1959.9096816000001</v>
      </c>
      <c r="AQ4" s="1">
        <f t="shared" si="4"/>
        <v>1999.1078752320002</v>
      </c>
      <c r="AR4" s="1">
        <f t="shared" si="4"/>
        <v>2039.0900327366403</v>
      </c>
      <c r="AS4" s="1">
        <f t="shared" si="4"/>
        <v>2079.871833391373</v>
      </c>
      <c r="AT4" s="1">
        <f>AS4*1.01</f>
        <v>2100.6705517252867</v>
      </c>
      <c r="AU4" s="1">
        <f t="shared" si="1"/>
        <v>2121.6772572425398</v>
      </c>
      <c r="AV4" s="1">
        <f t="shared" si="1"/>
        <v>2142.8940298149651</v>
      </c>
      <c r="AW4" s="1">
        <f t="shared" si="1"/>
        <v>2164.3229701131149</v>
      </c>
      <c r="AX4" s="1">
        <f t="shared" si="1"/>
        <v>2185.966199814246</v>
      </c>
    </row>
    <row r="5" spans="2:50" x14ac:dyDescent="0.3">
      <c r="B5" t="s">
        <v>40</v>
      </c>
      <c r="K5" s="1">
        <v>368.8</v>
      </c>
      <c r="O5" s="1">
        <v>949.8</v>
      </c>
      <c r="P5" s="1">
        <v>1105</v>
      </c>
      <c r="Q5" s="1">
        <v>1251.5999999999999</v>
      </c>
      <c r="R5" s="1">
        <v>1331.6</v>
      </c>
      <c r="S5" s="1">
        <v>1375</v>
      </c>
      <c r="T5" s="1">
        <v>1462.6</v>
      </c>
      <c r="U5" s="1">
        <v>1620.9</v>
      </c>
      <c r="V5" s="1">
        <v>1770.8</v>
      </c>
      <c r="W5" s="1">
        <v>1741.1</v>
      </c>
      <c r="X5" s="1">
        <v>1826.7</v>
      </c>
      <c r="Y5" s="1">
        <v>1918.9</v>
      </c>
      <c r="Z5" s="1">
        <v>2189.6</v>
      </c>
      <c r="AA5" s="1">
        <f>W5*1.19</f>
        <v>2071.9089999999997</v>
      </c>
      <c r="AB5" s="1">
        <f>X5*1.17</f>
        <v>2137.239</v>
      </c>
      <c r="AC5" s="1">
        <f>Y5*1.15</f>
        <v>2206.7350000000001</v>
      </c>
      <c r="AD5" s="1">
        <f>Z5*1.08</f>
        <v>2364.768</v>
      </c>
      <c r="AH5" s="1">
        <v>1287.8</v>
      </c>
      <c r="AI5" s="1">
        <v>1647</v>
      </c>
      <c r="AJ5" s="1">
        <v>1877.7</v>
      </c>
      <c r="AK5" s="1">
        <f>SUM(O5:R5)</f>
        <v>4638</v>
      </c>
      <c r="AL5" s="1">
        <f>SUM(S5:V5)</f>
        <v>6229.3</v>
      </c>
      <c r="AM5" s="1">
        <f>SUM(W5:Z5)</f>
        <v>7676.3000000000011</v>
      </c>
      <c r="AN5" s="1">
        <f t="shared" si="3"/>
        <v>8780.6509999999998</v>
      </c>
      <c r="AO5" s="1">
        <f>AN5*1.1</f>
        <v>9658.7161000000015</v>
      </c>
      <c r="AP5" s="1">
        <f>AO5*1.08</f>
        <v>10431.413388000003</v>
      </c>
      <c r="AQ5" s="1">
        <f>AP5*1.06</f>
        <v>11057.298191280004</v>
      </c>
      <c r="AR5" s="1">
        <f>AQ5*1.04</f>
        <v>11499.590118931204</v>
      </c>
      <c r="AS5" s="1">
        <f>AR5*1.03</f>
        <v>11844.577822499141</v>
      </c>
      <c r="AT5" s="1">
        <f>AS5*1.02</f>
        <v>12081.469378949125</v>
      </c>
      <c r="AU5" s="1">
        <f>AT5*1.01</f>
        <v>12202.284072738616</v>
      </c>
      <c r="AV5" s="1">
        <f t="shared" ref="AV5:AX5" si="5">AU5*1.01</f>
        <v>12324.306913466002</v>
      </c>
      <c r="AW5" s="1">
        <f t="shared" si="5"/>
        <v>12447.549982600662</v>
      </c>
      <c r="AX5" s="1">
        <f t="shared" si="5"/>
        <v>12572.025482426669</v>
      </c>
    </row>
    <row r="6" spans="2:50" x14ac:dyDescent="0.3">
      <c r="B6" s="7" t="s">
        <v>41</v>
      </c>
      <c r="C6" s="7"/>
      <c r="D6" s="7"/>
      <c r="E6" s="7"/>
      <c r="F6" s="7"/>
      <c r="G6" s="7"/>
      <c r="H6" s="7"/>
      <c r="I6" s="7"/>
      <c r="J6" s="7"/>
      <c r="K6" s="9">
        <f>SUM(K3:K5)</f>
        <v>827</v>
      </c>
      <c r="L6" s="7"/>
      <c r="M6" s="7"/>
      <c r="N6" s="7"/>
      <c r="O6" s="9">
        <f t="shared" ref="O6:W6" si="6">SUM(O3:O5)</f>
        <v>1936.8999999999999</v>
      </c>
      <c r="P6" s="9">
        <f t="shared" si="6"/>
        <v>2149.6999999999998</v>
      </c>
      <c r="Q6" s="9">
        <f t="shared" si="6"/>
        <v>2355.7999999999997</v>
      </c>
      <c r="R6" s="9">
        <f t="shared" si="6"/>
        <v>2574</v>
      </c>
      <c r="S6" s="9">
        <f t="shared" si="6"/>
        <v>2553.1999999999998</v>
      </c>
      <c r="T6" s="9">
        <f t="shared" si="6"/>
        <v>2760</v>
      </c>
      <c r="U6" s="9">
        <f t="shared" si="6"/>
        <v>2952.8</v>
      </c>
      <c r="V6" s="9">
        <f t="shared" si="6"/>
        <v>3098</v>
      </c>
      <c r="W6" s="9">
        <f t="shared" si="6"/>
        <v>2947.6</v>
      </c>
      <c r="X6" s="9">
        <f t="shared" ref="X6" si="7">SUM(X3:X5)</f>
        <v>3087.5</v>
      </c>
      <c r="Y6" s="9">
        <f t="shared" ref="Y6" si="8">SUM(Y3:Y5)</f>
        <v>3213.4</v>
      </c>
      <c r="Z6" s="9">
        <f t="shared" ref="Z6:AD6" si="9">SUM(Z3:Z5)</f>
        <v>3490.7</v>
      </c>
      <c r="AA6" s="9">
        <f t="shared" si="9"/>
        <v>3252.9839999999995</v>
      </c>
      <c r="AB6" s="9">
        <f t="shared" si="9"/>
        <v>3379.3379999999997</v>
      </c>
      <c r="AC6" s="9">
        <f t="shared" si="9"/>
        <v>3485.6800000000003</v>
      </c>
      <c r="AD6" s="9">
        <f t="shared" si="9"/>
        <v>3658.6979999999999</v>
      </c>
      <c r="AH6" s="9">
        <f t="shared" ref="AH6:AM6" si="10">SUM(AH3:AH5)</f>
        <v>2389.6999999999998</v>
      </c>
      <c r="AI6" s="9">
        <f t="shared" si="10"/>
        <v>3179.1</v>
      </c>
      <c r="AJ6" s="9">
        <f t="shared" si="10"/>
        <v>4576.5</v>
      </c>
      <c r="AK6" s="9">
        <f t="shared" si="10"/>
        <v>9016.4</v>
      </c>
      <c r="AL6" s="9">
        <f t="shared" si="10"/>
        <v>11364</v>
      </c>
      <c r="AM6" s="9">
        <f t="shared" si="10"/>
        <v>12739.2</v>
      </c>
      <c r="AN6" s="9">
        <f t="shared" ref="AN6" si="11">SUM(AN3:AN5)</f>
        <v>13776.7</v>
      </c>
      <c r="AO6" s="9">
        <f t="shared" ref="AO6" si="12">SUM(AO3:AO5)</f>
        <v>14723.563630000001</v>
      </c>
      <c r="AP6" s="9">
        <f t="shared" ref="AP6" si="13">SUM(AP3:AP5)</f>
        <v>15566.124194100003</v>
      </c>
      <c r="AQ6" s="9">
        <f t="shared" ref="AQ6" si="14">SUM(AQ3:AQ5)</f>
        <v>16262.955202257004</v>
      </c>
      <c r="AR6" s="9">
        <f t="shared" ref="AR6" si="15">SUM(AR3:AR5)</f>
        <v>16777.294778770294</v>
      </c>
      <c r="AS6" s="9">
        <f t="shared" ref="AS6" si="16">SUM(AS3:AS5)</f>
        <v>17195.45042926399</v>
      </c>
      <c r="AT6" s="9">
        <f t="shared" ref="AT6" si="17">SUM(AT3:AT5)</f>
        <v>17485.850711781619</v>
      </c>
      <c r="AU6" s="9">
        <f t="shared" ref="AU6" si="18">SUM(AU3:AU5)</f>
        <v>17660.709218899436</v>
      </c>
      <c r="AV6" s="9">
        <f t="shared" ref="AV6" si="19">SUM(AV3:AV5)</f>
        <v>17837.316311088431</v>
      </c>
      <c r="AW6" s="9">
        <f t="shared" ref="AW6" si="20">SUM(AW3:AW5)</f>
        <v>18015.689474199316</v>
      </c>
      <c r="AX6" s="9">
        <f t="shared" ref="AX6" si="21">SUM(AX3:AX5)</f>
        <v>18195.846368941307</v>
      </c>
    </row>
    <row r="7" spans="2:50" x14ac:dyDescent="0.3">
      <c r="B7" t="s">
        <v>37</v>
      </c>
      <c r="K7" s="1">
        <v>239.7</v>
      </c>
      <c r="O7" s="1">
        <v>674.4</v>
      </c>
      <c r="P7" s="1">
        <v>626.20000000000005</v>
      </c>
      <c r="Q7" s="1">
        <v>671.3</v>
      </c>
      <c r="R7" s="1">
        <v>698</v>
      </c>
      <c r="S7" s="1">
        <v>721.3</v>
      </c>
      <c r="T7" s="1">
        <v>685.3</v>
      </c>
      <c r="U7" s="1">
        <v>773.5</v>
      </c>
      <c r="V7" s="1">
        <f>802.7</f>
        <v>802.7</v>
      </c>
      <c r="W7" s="1">
        <v>809.9</v>
      </c>
      <c r="X7" s="1">
        <v>841.4</v>
      </c>
      <c r="Y7" s="1">
        <v>859</v>
      </c>
      <c r="Z7" s="1">
        <v>878.8</v>
      </c>
      <c r="AA7" s="1">
        <f>AA6-AA8</f>
        <v>878.30567999999994</v>
      </c>
      <c r="AB7" s="1">
        <f t="shared" ref="AB7:AD7" si="22">AB6-AB8</f>
        <v>912.42126000000007</v>
      </c>
      <c r="AC7" s="1">
        <f t="shared" si="22"/>
        <v>906.27680000000009</v>
      </c>
      <c r="AD7" s="1">
        <f t="shared" si="22"/>
        <v>914.67450000000008</v>
      </c>
      <c r="AH7" s="1">
        <v>426.9</v>
      </c>
      <c r="AI7" s="1">
        <v>769.9</v>
      </c>
      <c r="AJ7" s="1">
        <v>1713.8</v>
      </c>
      <c r="AK7" s="1">
        <f>SUM(O7:R7)</f>
        <v>2669.8999999999996</v>
      </c>
      <c r="AL7" s="1">
        <f>SUM(S7:V7)</f>
        <v>2982.8</v>
      </c>
      <c r="AM7" s="1">
        <f>SUM(W7:Z7)</f>
        <v>3389.1000000000004</v>
      </c>
      <c r="AN7" s="1">
        <f t="shared" si="3"/>
        <v>3611.6782400000002</v>
      </c>
      <c r="AO7" s="1">
        <f t="shared" ref="AO7:AX7" si="23">AO6-AO8</f>
        <v>3828.1265438000009</v>
      </c>
      <c r="AP7" s="1">
        <f t="shared" si="23"/>
        <v>4047.1922904660005</v>
      </c>
      <c r="AQ7" s="1">
        <f t="shared" si="23"/>
        <v>4228.3683525868219</v>
      </c>
      <c r="AR7" s="1">
        <f t="shared" si="23"/>
        <v>4362.0966424802773</v>
      </c>
      <c r="AS7" s="1">
        <f t="shared" si="23"/>
        <v>4470.8171116086378</v>
      </c>
      <c r="AT7" s="1">
        <f t="shared" si="23"/>
        <v>4546.3211850632215</v>
      </c>
      <c r="AU7" s="1">
        <f t="shared" si="23"/>
        <v>4591.7843969138539</v>
      </c>
      <c r="AV7" s="1">
        <f t="shared" si="23"/>
        <v>4637.7022408829926</v>
      </c>
      <c r="AW7" s="1">
        <f t="shared" si="23"/>
        <v>4684.0792632918219</v>
      </c>
      <c r="AX7" s="1">
        <f t="shared" si="23"/>
        <v>4730.9200559247402</v>
      </c>
    </row>
    <row r="8" spans="2:50" x14ac:dyDescent="0.3">
      <c r="B8" s="7" t="s">
        <v>46</v>
      </c>
      <c r="C8" s="7"/>
      <c r="D8" s="7"/>
      <c r="E8" s="7"/>
      <c r="F8" s="7"/>
      <c r="G8" s="7"/>
      <c r="H8" s="7"/>
      <c r="I8" s="7"/>
      <c r="J8" s="7"/>
      <c r="K8" s="9">
        <f>K6-K7</f>
        <v>587.29999999999995</v>
      </c>
      <c r="L8" s="7"/>
      <c r="M8" s="7"/>
      <c r="N8" s="7"/>
      <c r="O8" s="9">
        <f t="shared" ref="O8:Z8" si="24">O6-O7</f>
        <v>1262.5</v>
      </c>
      <c r="P8" s="9">
        <f t="shared" si="24"/>
        <v>1523.4999999999998</v>
      </c>
      <c r="Q8" s="9">
        <f t="shared" si="24"/>
        <v>1684.4999999999998</v>
      </c>
      <c r="R8" s="9">
        <f t="shared" si="24"/>
        <v>1876</v>
      </c>
      <c r="S8" s="9">
        <f t="shared" si="24"/>
        <v>1831.8999999999999</v>
      </c>
      <c r="T8" s="9">
        <f t="shared" si="24"/>
        <v>2074.6999999999998</v>
      </c>
      <c r="U8" s="9">
        <f t="shared" si="24"/>
        <v>2179.3000000000002</v>
      </c>
      <c r="V8" s="9">
        <f t="shared" si="24"/>
        <v>2295.3000000000002</v>
      </c>
      <c r="W8" s="9">
        <f t="shared" si="24"/>
        <v>2137.6999999999998</v>
      </c>
      <c r="X8" s="9">
        <f t="shared" si="24"/>
        <v>2246.1</v>
      </c>
      <c r="Y8" s="9">
        <f t="shared" si="24"/>
        <v>2354.4</v>
      </c>
      <c r="Z8" s="9">
        <f t="shared" si="24"/>
        <v>2611.8999999999996</v>
      </c>
      <c r="AA8" s="9">
        <f>AA6*0.73</f>
        <v>2374.6783199999995</v>
      </c>
      <c r="AB8" s="9">
        <f t="shared" ref="AB8" si="25">AB6*0.73</f>
        <v>2466.9167399999997</v>
      </c>
      <c r="AC8" s="9">
        <f>AC6*0.74</f>
        <v>2579.4032000000002</v>
      </c>
      <c r="AD8" s="9">
        <f>AD6*0.75</f>
        <v>2744.0234999999998</v>
      </c>
      <c r="AH8" s="9">
        <f t="shared" ref="AH8:AN8" si="26">AH6-AH7</f>
        <v>1962.7999999999997</v>
      </c>
      <c r="AI8" s="9">
        <f t="shared" si="26"/>
        <v>2409.1999999999998</v>
      </c>
      <c r="AJ8" s="9">
        <f t="shared" si="26"/>
        <v>2862.7</v>
      </c>
      <c r="AK8" s="9">
        <f t="shared" si="26"/>
        <v>6346.5</v>
      </c>
      <c r="AL8" s="9">
        <f t="shared" si="26"/>
        <v>8381.2000000000007</v>
      </c>
      <c r="AM8" s="9">
        <f t="shared" si="26"/>
        <v>9350.1</v>
      </c>
      <c r="AN8" s="9">
        <f t="shared" si="26"/>
        <v>10165.02176</v>
      </c>
      <c r="AO8" s="9">
        <f t="shared" ref="AO8:AX8" si="27">AO6*0.74</f>
        <v>10895.4370862</v>
      </c>
      <c r="AP8" s="9">
        <f t="shared" si="27"/>
        <v>11518.931903634002</v>
      </c>
      <c r="AQ8" s="9">
        <f t="shared" si="27"/>
        <v>12034.586849670182</v>
      </c>
      <c r="AR8" s="9">
        <f t="shared" si="27"/>
        <v>12415.198136290017</v>
      </c>
      <c r="AS8" s="9">
        <f t="shared" si="27"/>
        <v>12724.633317655353</v>
      </c>
      <c r="AT8" s="9">
        <f t="shared" si="27"/>
        <v>12939.529526718397</v>
      </c>
      <c r="AU8" s="9">
        <f t="shared" si="27"/>
        <v>13068.924821985582</v>
      </c>
      <c r="AV8" s="9">
        <f t="shared" si="27"/>
        <v>13199.614070205438</v>
      </c>
      <c r="AW8" s="9">
        <f t="shared" si="27"/>
        <v>13331.610210907495</v>
      </c>
      <c r="AX8" s="9">
        <f t="shared" si="27"/>
        <v>13464.926313016567</v>
      </c>
    </row>
    <row r="9" spans="2:50" x14ac:dyDescent="0.3">
      <c r="B9" t="s">
        <v>42</v>
      </c>
      <c r="K9" s="1">
        <v>117.6</v>
      </c>
      <c r="O9" s="1">
        <v>238.2</v>
      </c>
      <c r="P9" s="1">
        <v>272</v>
      </c>
      <c r="Q9" s="1">
        <v>283.89999999999998</v>
      </c>
      <c r="R9" s="1">
        <v>327.2</v>
      </c>
      <c r="S9" s="1">
        <v>298</v>
      </c>
      <c r="T9" s="1">
        <v>303.89999999999998</v>
      </c>
      <c r="U9" s="1">
        <v>278.3</v>
      </c>
      <c r="V9" s="1">
        <v>308.60000000000002</v>
      </c>
      <c r="W9" s="1">
        <v>257</v>
      </c>
      <c r="X9" s="1">
        <v>255.5</v>
      </c>
      <c r="Y9" s="1">
        <v>314.7</v>
      </c>
      <c r="Z9" s="1">
        <v>303.3</v>
      </c>
      <c r="AA9" s="1">
        <f>AA6*0.09</f>
        <v>292.76855999999992</v>
      </c>
      <c r="AB9" s="1">
        <f t="shared" ref="AB9:AD9" si="28">AB6*0.09</f>
        <v>304.14041999999995</v>
      </c>
      <c r="AC9" s="1">
        <f t="shared" si="28"/>
        <v>313.71120000000002</v>
      </c>
      <c r="AD9" s="1">
        <f t="shared" si="28"/>
        <v>329.28281999999996</v>
      </c>
      <c r="AH9" s="1">
        <v>285.8</v>
      </c>
      <c r="AI9" s="1">
        <v>392.5</v>
      </c>
      <c r="AJ9" s="1">
        <v>813.3</v>
      </c>
      <c r="AK9" s="1">
        <f>SUM(O9:R9)</f>
        <v>1121.3</v>
      </c>
      <c r="AL9" s="1">
        <f>SUM(S9:V9)</f>
        <v>1188.8000000000002</v>
      </c>
      <c r="AM9" s="1">
        <f>SUM(W9:Z9)</f>
        <v>1130.5</v>
      </c>
      <c r="AN9" s="1">
        <f t="shared" si="3"/>
        <v>1239.9029999999998</v>
      </c>
      <c r="AO9" s="1">
        <f t="shared" ref="AO9:AX9" si="29">AO6*0.09</f>
        <v>1325.1207267</v>
      </c>
      <c r="AP9" s="1">
        <f t="shared" si="29"/>
        <v>1400.9511774690002</v>
      </c>
      <c r="AQ9" s="1">
        <f t="shared" si="29"/>
        <v>1463.6659682031304</v>
      </c>
      <c r="AR9" s="1">
        <f t="shared" si="29"/>
        <v>1509.9565300893264</v>
      </c>
      <c r="AS9" s="1">
        <f t="shared" si="29"/>
        <v>1547.590538633759</v>
      </c>
      <c r="AT9" s="1">
        <f t="shared" si="29"/>
        <v>1573.7265640603457</v>
      </c>
      <c r="AU9" s="1">
        <f t="shared" si="29"/>
        <v>1589.4638297009492</v>
      </c>
      <c r="AV9" s="1">
        <f t="shared" si="29"/>
        <v>1605.3584679979588</v>
      </c>
      <c r="AW9" s="1">
        <f t="shared" si="29"/>
        <v>1621.4120526779384</v>
      </c>
      <c r="AX9" s="1">
        <f t="shared" si="29"/>
        <v>1637.6261732047176</v>
      </c>
    </row>
    <row r="10" spans="2:50" x14ac:dyDescent="0.3">
      <c r="B10" t="s">
        <v>43</v>
      </c>
      <c r="K10" s="1">
        <v>162.80000000000001</v>
      </c>
      <c r="O10" s="1">
        <v>383.7</v>
      </c>
      <c r="P10" s="1">
        <v>335.9</v>
      </c>
      <c r="Q10" s="1">
        <v>385.4</v>
      </c>
      <c r="R10" s="1">
        <v>406.1</v>
      </c>
      <c r="S10" s="1">
        <v>389.9</v>
      </c>
      <c r="T10" s="1">
        <v>411.9</v>
      </c>
      <c r="U10" s="1">
        <v>442.4</v>
      </c>
      <c r="V10" s="1">
        <v>454</v>
      </c>
      <c r="W10" s="1">
        <v>529.70000000000005</v>
      </c>
      <c r="X10" s="1">
        <v>524.9</v>
      </c>
      <c r="Y10" s="1">
        <v>501.8</v>
      </c>
      <c r="Z10" s="1">
        <v>549.1</v>
      </c>
      <c r="AA10" s="1">
        <f>AA6*0.17</f>
        <v>553.00727999999992</v>
      </c>
      <c r="AB10" s="1">
        <f t="shared" ref="AB10" si="30">AB6*0.17</f>
        <v>574.48745999999994</v>
      </c>
      <c r="AC10" s="1">
        <f>AC6*0.16</f>
        <v>557.70880000000011</v>
      </c>
      <c r="AD10" s="1">
        <f>AD6*0.15</f>
        <v>548.80469999999991</v>
      </c>
      <c r="AH10" s="1">
        <v>360.6</v>
      </c>
      <c r="AI10" s="1">
        <v>505.9</v>
      </c>
      <c r="AJ10" s="1">
        <v>1012.5</v>
      </c>
      <c r="AK10" s="1">
        <f>SUM(O10:R10)</f>
        <v>1511.1</v>
      </c>
      <c r="AL10" s="1">
        <f>SUM(S10:V10)</f>
        <v>1698.1999999999998</v>
      </c>
      <c r="AM10" s="1">
        <f>SUM(W10:Z10)</f>
        <v>2105.5</v>
      </c>
      <c r="AN10" s="1">
        <f t="shared" si="3"/>
        <v>2234.0082400000001</v>
      </c>
      <c r="AO10" s="1">
        <f>AO6*0.15</f>
        <v>2208.5345444999998</v>
      </c>
      <c r="AP10" s="1">
        <f t="shared" ref="AP10:AX10" si="31">AP6*0.15</f>
        <v>2334.9186291150004</v>
      </c>
      <c r="AQ10" s="1">
        <f t="shared" si="31"/>
        <v>2439.4432803385507</v>
      </c>
      <c r="AR10" s="1">
        <f t="shared" si="31"/>
        <v>2516.5942168155439</v>
      </c>
      <c r="AS10" s="1">
        <f t="shared" si="31"/>
        <v>2579.3175643895984</v>
      </c>
      <c r="AT10" s="1">
        <f t="shared" si="31"/>
        <v>2622.8776067672429</v>
      </c>
      <c r="AU10" s="1">
        <f t="shared" si="31"/>
        <v>2649.1063828349152</v>
      </c>
      <c r="AV10" s="1">
        <f t="shared" si="31"/>
        <v>2675.5974466632647</v>
      </c>
      <c r="AW10" s="1">
        <f t="shared" si="31"/>
        <v>2702.3534211298975</v>
      </c>
      <c r="AX10" s="1">
        <f t="shared" si="31"/>
        <v>2729.3769553411962</v>
      </c>
    </row>
    <row r="11" spans="2:50" x14ac:dyDescent="0.3">
      <c r="B11" t="s">
        <v>44</v>
      </c>
      <c r="K11" s="1">
        <v>92.5</v>
      </c>
      <c r="O11" s="1">
        <v>708.2</v>
      </c>
      <c r="P11" s="1">
        <v>954.7</v>
      </c>
      <c r="Q11" s="1">
        <v>940.3</v>
      </c>
      <c r="R11" s="1">
        <v>911.5</v>
      </c>
      <c r="S11" s="1">
        <v>923.6</v>
      </c>
      <c r="T11" s="1">
        <v>1073.8</v>
      </c>
      <c r="U11" s="1">
        <v>1058.9000000000001</v>
      </c>
      <c r="V11" s="1">
        <v>943.1</v>
      </c>
      <c r="W11" s="1">
        <v>896.6</v>
      </c>
      <c r="X11" s="1">
        <v>851.1</v>
      </c>
      <c r="Y11" s="1">
        <v>910.5</v>
      </c>
      <c r="Z11" s="1">
        <v>1035.5</v>
      </c>
      <c r="AA11" s="1">
        <f>W11*1.05</f>
        <v>941.43000000000006</v>
      </c>
      <c r="AB11" s="1">
        <f t="shared" ref="AB11:AD11" si="32">X11*1.05</f>
        <v>893.65500000000009</v>
      </c>
      <c r="AC11" s="1">
        <f t="shared" si="32"/>
        <v>956.02500000000009</v>
      </c>
      <c r="AD11" s="1">
        <f t="shared" si="32"/>
        <v>1087.2750000000001</v>
      </c>
      <c r="AH11" s="1">
        <v>353.5</v>
      </c>
      <c r="AI11" s="1">
        <v>339.8</v>
      </c>
      <c r="AJ11" s="1">
        <v>1269.0999999999999</v>
      </c>
      <c r="AK11" s="1">
        <f>SUM(O11:R11)</f>
        <v>3514.7</v>
      </c>
      <c r="AL11" s="1">
        <f>SUM(S11:V11)</f>
        <v>3999.4</v>
      </c>
      <c r="AM11" s="1">
        <f>SUM(W11:Z11)</f>
        <v>3693.7</v>
      </c>
      <c r="AN11" s="1">
        <f t="shared" si="3"/>
        <v>3878.3850000000002</v>
      </c>
      <c r="AO11" s="1">
        <f t="shared" ref="AO11:AR11" si="33">AN11*1.03</f>
        <v>3994.7365500000005</v>
      </c>
      <c r="AP11" s="1">
        <f t="shared" si="33"/>
        <v>4114.578646500001</v>
      </c>
      <c r="AQ11" s="1">
        <f t="shared" si="33"/>
        <v>4238.0160058950014</v>
      </c>
      <c r="AR11" s="1">
        <f t="shared" si="33"/>
        <v>4365.1564860718518</v>
      </c>
      <c r="AS11" s="1">
        <f>AR11*1.02</f>
        <v>4452.4596157932892</v>
      </c>
      <c r="AT11" s="1">
        <f t="shared" ref="AT11:AX11" si="34">AS11*1.02</f>
        <v>4541.5088081091553</v>
      </c>
      <c r="AU11" s="1">
        <f t="shared" si="34"/>
        <v>4632.3389842713386</v>
      </c>
      <c r="AV11" s="1">
        <f t="shared" si="34"/>
        <v>4724.9857639567654</v>
      </c>
      <c r="AW11" s="1">
        <f t="shared" si="34"/>
        <v>4819.485479235901</v>
      </c>
      <c r="AX11" s="1">
        <f t="shared" si="34"/>
        <v>4915.8751888206189</v>
      </c>
    </row>
    <row r="12" spans="2:50" x14ac:dyDescent="0.3">
      <c r="B12" t="s">
        <v>45</v>
      </c>
      <c r="K12" s="1">
        <f>41.5-40.6</f>
        <v>0.89999999999999858</v>
      </c>
      <c r="O12" s="1">
        <f>323+31.8-133.4</f>
        <v>221.4</v>
      </c>
      <c r="P12" s="1">
        <f>527.1+70.3-154.4</f>
        <v>443</v>
      </c>
      <c r="Q12" s="1">
        <f>-111.5+91.3-152.7</f>
        <v>-172.89999999999998</v>
      </c>
      <c r="R12" s="1">
        <f>114.5+109-132.1</f>
        <v>91.4</v>
      </c>
      <c r="S12" s="1">
        <f>-30.5+101.5-158.4</f>
        <v>-87.4</v>
      </c>
      <c r="T12" s="1">
        <f>56.7-194.8</f>
        <v>-138.10000000000002</v>
      </c>
      <c r="U12" s="1">
        <f>82.6-187</f>
        <v>-104.4</v>
      </c>
      <c r="V12" s="1">
        <f>0.3-150.7</f>
        <v>-150.39999999999998</v>
      </c>
      <c r="W12" s="1">
        <f>108.1-137.3</f>
        <v>-29.200000000000017</v>
      </c>
      <c r="X12" s="1">
        <f>80.9-118.4</f>
        <v>-37.5</v>
      </c>
      <c r="Y12" s="1">
        <f>101.6-143.9</f>
        <v>-42.300000000000011</v>
      </c>
      <c r="Z12" s="1">
        <f>-118.7+108.1</f>
        <v>-10.600000000000009</v>
      </c>
      <c r="AA12" s="1">
        <f>W12*1.02</f>
        <v>-29.784000000000017</v>
      </c>
      <c r="AB12" s="1">
        <f t="shared" ref="AB12:AD12" si="35">X12*1.02</f>
        <v>-38.25</v>
      </c>
      <c r="AC12" s="1">
        <f t="shared" si="35"/>
        <v>-43.146000000000015</v>
      </c>
      <c r="AD12" s="1">
        <f t="shared" si="35"/>
        <v>-10.812000000000008</v>
      </c>
      <c r="AH12" s="1">
        <f>57.7-186.4</f>
        <v>-128.69999999999999</v>
      </c>
      <c r="AI12" s="1">
        <f>177.1-140.7</f>
        <v>36.400000000000006</v>
      </c>
      <c r="AJ12" s="1">
        <f>1264.2+185.9-247.3</f>
        <v>1202.8000000000002</v>
      </c>
      <c r="AK12" s="1">
        <f>SUM(O12:R12)</f>
        <v>582.9</v>
      </c>
      <c r="AL12" s="1">
        <f>SUM(S12:V12)</f>
        <v>-480.3</v>
      </c>
      <c r="AM12" s="1">
        <f>SUM(W12:Z12)</f>
        <v>-119.60000000000004</v>
      </c>
      <c r="AN12" s="1">
        <f t="shared" si="3"/>
        <v>-121.99200000000005</v>
      </c>
      <c r="AO12" s="1">
        <f t="shared" ref="AO12:AX12" si="36">AN12*1.03</f>
        <v>-125.65176000000005</v>
      </c>
      <c r="AP12" s="1">
        <f t="shared" si="36"/>
        <v>-129.42131280000007</v>
      </c>
      <c r="AQ12" s="1">
        <f t="shared" si="36"/>
        <v>-133.30395218400008</v>
      </c>
      <c r="AR12" s="1">
        <f t="shared" si="36"/>
        <v>-137.30307074952009</v>
      </c>
      <c r="AS12" s="1">
        <f t="shared" si="36"/>
        <v>-141.42216287200569</v>
      </c>
      <c r="AT12" s="1">
        <f t="shared" si="36"/>
        <v>-145.66482775816587</v>
      </c>
      <c r="AU12" s="1">
        <f t="shared" si="36"/>
        <v>-150.03477259091085</v>
      </c>
      <c r="AV12" s="1">
        <f t="shared" si="36"/>
        <v>-154.53581576863817</v>
      </c>
      <c r="AW12" s="1">
        <f t="shared" si="36"/>
        <v>-159.17189024169733</v>
      </c>
      <c r="AX12" s="1">
        <f t="shared" si="36"/>
        <v>-163.94704694894824</v>
      </c>
    </row>
    <row r="13" spans="2:50" x14ac:dyDescent="0.3">
      <c r="B13" s="7" t="s">
        <v>47</v>
      </c>
      <c r="C13" s="7"/>
      <c r="D13" s="7"/>
      <c r="E13" s="7"/>
      <c r="F13" s="7"/>
      <c r="G13" s="7"/>
      <c r="H13" s="7"/>
      <c r="I13" s="7"/>
      <c r="J13" s="7"/>
      <c r="K13" s="9">
        <f>K8-SUM(K9:K12)</f>
        <v>213.5</v>
      </c>
      <c r="L13" s="7"/>
      <c r="M13" s="7"/>
      <c r="N13" s="7"/>
      <c r="O13" s="9">
        <f t="shared" ref="O13:W13" si="37">O8-SUM(O9:O12)</f>
        <v>-289</v>
      </c>
      <c r="P13" s="9">
        <f t="shared" si="37"/>
        <v>-482.10000000000014</v>
      </c>
      <c r="Q13" s="9">
        <f t="shared" si="37"/>
        <v>247.79999999999995</v>
      </c>
      <c r="R13" s="9">
        <f t="shared" si="37"/>
        <v>139.79999999999995</v>
      </c>
      <c r="S13" s="9">
        <f t="shared" si="37"/>
        <v>307.79999999999995</v>
      </c>
      <c r="T13" s="9">
        <f t="shared" si="37"/>
        <v>423.19999999999982</v>
      </c>
      <c r="U13" s="9">
        <f t="shared" si="37"/>
        <v>504.10000000000014</v>
      </c>
      <c r="V13" s="9">
        <f t="shared" si="37"/>
        <v>740</v>
      </c>
      <c r="W13" s="9">
        <f t="shared" si="37"/>
        <v>483.59999999999968</v>
      </c>
      <c r="X13" s="9">
        <f t="shared" ref="X13" si="38">X8-SUM(X9:X12)</f>
        <v>652.09999999999991</v>
      </c>
      <c r="Y13" s="9">
        <f t="shared" ref="Y13" si="39">Y8-SUM(Y9:Y12)</f>
        <v>669.7</v>
      </c>
      <c r="Z13" s="9">
        <f t="shared" ref="Z13:AD13" si="40">Z8-SUM(Z9:Z12)</f>
        <v>734.59999999999945</v>
      </c>
      <c r="AA13" s="9">
        <f t="shared" si="40"/>
        <v>617.25647999999978</v>
      </c>
      <c r="AB13" s="9">
        <f t="shared" si="40"/>
        <v>732.88385999999969</v>
      </c>
      <c r="AC13" s="9">
        <f t="shared" si="40"/>
        <v>795.10419999999999</v>
      </c>
      <c r="AD13" s="9">
        <f t="shared" si="40"/>
        <v>789.47297999999978</v>
      </c>
      <c r="AH13" s="9">
        <f t="shared" ref="AH13:AM13" si="41">AH8-SUM(AH9:AH12)</f>
        <v>1091.5999999999997</v>
      </c>
      <c r="AI13" s="9">
        <f t="shared" si="41"/>
        <v>1134.5999999999997</v>
      </c>
      <c r="AJ13" s="9">
        <f t="shared" si="41"/>
        <v>-1435</v>
      </c>
      <c r="AK13" s="9">
        <f t="shared" si="41"/>
        <v>-383.49999999999909</v>
      </c>
      <c r="AL13" s="9">
        <f t="shared" si="41"/>
        <v>1975.1000000000013</v>
      </c>
      <c r="AM13" s="9">
        <f t="shared" si="41"/>
        <v>2540.0000000000009</v>
      </c>
      <c r="AN13" s="9">
        <f t="shared" ref="AN13" si="42">AN8-SUM(AN9:AN12)</f>
        <v>2934.7175200000001</v>
      </c>
      <c r="AO13" s="9">
        <f t="shared" ref="AO13" si="43">AO8-SUM(AO9:AO12)</f>
        <v>3492.6970249999986</v>
      </c>
      <c r="AP13" s="9">
        <f t="shared" ref="AP13" si="44">AP8-SUM(AP9:AP12)</f>
        <v>3797.9047633500004</v>
      </c>
      <c r="AQ13" s="9">
        <f t="shared" ref="AQ13" si="45">AQ8-SUM(AQ9:AQ12)</f>
        <v>4026.7655474174999</v>
      </c>
      <c r="AR13" s="9">
        <f t="shared" ref="AR13" si="46">AR8-SUM(AR9:AR12)</f>
        <v>4160.7939740628153</v>
      </c>
      <c r="AS13" s="9">
        <f t="shared" ref="AS13" si="47">AS8-SUM(AS9:AS12)</f>
        <v>4286.6877617107111</v>
      </c>
      <c r="AT13" s="9">
        <f t="shared" ref="AT13" si="48">AT8-SUM(AT9:AT12)</f>
        <v>4347.0813755398194</v>
      </c>
      <c r="AU13" s="9">
        <f t="shared" ref="AU13" si="49">AU8-SUM(AU9:AU12)</f>
        <v>4348.0503977692897</v>
      </c>
      <c r="AV13" s="9">
        <f t="shared" ref="AV13" si="50">AV8-SUM(AV9:AV12)</f>
        <v>4348.2082073560869</v>
      </c>
      <c r="AW13" s="9">
        <f t="shared" ref="AW13" si="51">AW8-SUM(AW9:AW12)</f>
        <v>4347.5311481054541</v>
      </c>
      <c r="AX13" s="9">
        <f t="shared" ref="AX13" si="52">AX8-SUM(AX9:AX12)</f>
        <v>4345.9950425989828</v>
      </c>
    </row>
    <row r="14" spans="2:50" x14ac:dyDescent="0.3">
      <c r="B14" t="s">
        <v>48</v>
      </c>
      <c r="K14" s="1">
        <v>3.6</v>
      </c>
      <c r="O14" s="1">
        <v>0.7</v>
      </c>
      <c r="P14" s="1">
        <v>1.3</v>
      </c>
      <c r="Q14" s="1">
        <v>1.2</v>
      </c>
      <c r="R14" s="1">
        <v>0.3</v>
      </c>
      <c r="S14" s="1">
        <v>1</v>
      </c>
      <c r="T14" s="1">
        <v>0.8</v>
      </c>
      <c r="U14" s="1">
        <v>0.6</v>
      </c>
      <c r="V14" s="1">
        <v>1.7</v>
      </c>
      <c r="W14" s="1">
        <v>-0.3</v>
      </c>
      <c r="X14" s="1">
        <v>0.4</v>
      </c>
      <c r="Y14" s="1">
        <v>-0.4</v>
      </c>
      <c r="Z14" s="1">
        <f>-0.1+3558</f>
        <v>3557.9</v>
      </c>
      <c r="AA14" s="1">
        <v>0</v>
      </c>
      <c r="AB14" s="1">
        <v>0</v>
      </c>
      <c r="AC14" s="1">
        <v>0</v>
      </c>
      <c r="AD14" s="1">
        <v>0</v>
      </c>
      <c r="AH14" s="1">
        <v>0.8</v>
      </c>
      <c r="AI14" s="1">
        <v>6.9</v>
      </c>
      <c r="AJ14" s="1">
        <v>10.4</v>
      </c>
      <c r="AK14" s="1">
        <f>SUM(O14:R14)</f>
        <v>3.5</v>
      </c>
      <c r="AL14" s="1">
        <f>SUM(S14:V14)</f>
        <v>4.0999999999999996</v>
      </c>
      <c r="AM14" s="1">
        <f>SUM(W14:Z14)</f>
        <v>3557.6</v>
      </c>
      <c r="AN14" s="1">
        <f t="shared" si="3"/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2:50" x14ac:dyDescent="0.3">
      <c r="B15" s="7" t="s">
        <v>49</v>
      </c>
      <c r="C15" s="7"/>
      <c r="D15" s="7"/>
      <c r="E15" s="7"/>
      <c r="F15" s="7"/>
      <c r="G15" s="7"/>
      <c r="H15" s="7"/>
      <c r="I15" s="7"/>
      <c r="J15" s="7"/>
      <c r="K15" s="9">
        <f>K13-K14</f>
        <v>209.9</v>
      </c>
      <c r="L15" s="7"/>
      <c r="M15" s="7"/>
      <c r="N15" s="7"/>
      <c r="O15" s="9">
        <f t="shared" ref="O15:W15" si="53">O13-O14</f>
        <v>-289.7</v>
      </c>
      <c r="P15" s="9">
        <f t="shared" si="53"/>
        <v>-483.40000000000015</v>
      </c>
      <c r="Q15" s="9">
        <f t="shared" si="53"/>
        <v>246.59999999999997</v>
      </c>
      <c r="R15" s="9">
        <f t="shared" si="53"/>
        <v>139.49999999999994</v>
      </c>
      <c r="S15" s="9">
        <f t="shared" si="53"/>
        <v>306.79999999999995</v>
      </c>
      <c r="T15" s="9">
        <f t="shared" si="53"/>
        <v>422.39999999999981</v>
      </c>
      <c r="U15" s="9">
        <f t="shared" si="53"/>
        <v>503.50000000000011</v>
      </c>
      <c r="V15" s="9">
        <f t="shared" si="53"/>
        <v>738.3</v>
      </c>
      <c r="W15" s="9">
        <f t="shared" si="53"/>
        <v>483.89999999999969</v>
      </c>
      <c r="X15" s="9">
        <f t="shared" ref="X15" si="54">X13-X14</f>
        <v>651.69999999999993</v>
      </c>
      <c r="Y15" s="9">
        <f t="shared" ref="Y15" si="55">Y13-Y14</f>
        <v>670.1</v>
      </c>
      <c r="Z15" s="9">
        <f t="shared" ref="Z15:AD15" si="56">Z13-Z14</f>
        <v>-2823.3000000000006</v>
      </c>
      <c r="AA15" s="9">
        <f t="shared" si="56"/>
        <v>617.25647999999978</v>
      </c>
      <c r="AB15" s="9">
        <f t="shared" si="56"/>
        <v>732.88385999999969</v>
      </c>
      <c r="AC15" s="9">
        <f t="shared" si="56"/>
        <v>795.10419999999999</v>
      </c>
      <c r="AD15" s="9">
        <f t="shared" si="56"/>
        <v>789.47297999999978</v>
      </c>
      <c r="AH15" s="9">
        <f t="shared" ref="AH15:AN15" si="57">AH13-AH14</f>
        <v>1090.7999999999997</v>
      </c>
      <c r="AI15" s="9">
        <f t="shared" si="57"/>
        <v>1127.6999999999996</v>
      </c>
      <c r="AJ15" s="9">
        <f t="shared" si="57"/>
        <v>-1445.4</v>
      </c>
      <c r="AK15" s="9">
        <f t="shared" si="57"/>
        <v>-386.99999999999909</v>
      </c>
      <c r="AL15" s="9">
        <f t="shared" si="57"/>
        <v>1971.0000000000014</v>
      </c>
      <c r="AM15" s="9">
        <f t="shared" si="57"/>
        <v>-1017.599999999999</v>
      </c>
      <c r="AN15" s="9">
        <f t="shared" si="57"/>
        <v>2934.7175200000001</v>
      </c>
      <c r="AO15" s="9">
        <f t="shared" ref="AO15" si="58">AO13-AO14</f>
        <v>3492.6970249999986</v>
      </c>
      <c r="AP15" s="9">
        <f t="shared" ref="AP15" si="59">AP13-AP14</f>
        <v>3797.9047633500004</v>
      </c>
      <c r="AQ15" s="9">
        <f t="shared" ref="AQ15" si="60">AQ13-AQ14</f>
        <v>4026.7655474174999</v>
      </c>
      <c r="AR15" s="9">
        <f t="shared" ref="AR15" si="61">AR13-AR14</f>
        <v>4160.7939740628153</v>
      </c>
      <c r="AS15" s="9">
        <f t="shared" ref="AS15" si="62">AS13-AS14</f>
        <v>4286.6877617107111</v>
      </c>
      <c r="AT15" s="9">
        <f t="shared" ref="AT15" si="63">AT13-AT14</f>
        <v>4347.0813755398194</v>
      </c>
      <c r="AU15" s="9">
        <f t="shared" ref="AU15" si="64">AU13-AU14</f>
        <v>4348.0503977692897</v>
      </c>
      <c r="AV15" s="9">
        <f t="shared" ref="AV15" si="65">AV13-AV14</f>
        <v>4348.2082073560869</v>
      </c>
      <c r="AW15" s="9">
        <f t="shared" ref="AW15" si="66">AW13-AW14</f>
        <v>4347.5311481054541</v>
      </c>
      <c r="AX15" s="9">
        <f t="shared" ref="AX15" si="67">AX13-AX14</f>
        <v>4345.9950425989828</v>
      </c>
    </row>
    <row r="16" spans="2:50" x14ac:dyDescent="0.3">
      <c r="B16" t="s">
        <v>50</v>
      </c>
      <c r="K16" s="1">
        <v>51.7</v>
      </c>
      <c r="O16" s="1">
        <v>23.2</v>
      </c>
      <c r="P16" s="1">
        <v>5.9</v>
      </c>
      <c r="Q16" s="1">
        <v>49.4</v>
      </c>
      <c r="R16" s="1">
        <v>60.6</v>
      </c>
      <c r="S16" s="1">
        <f>43.6+37.6</f>
        <v>81.2</v>
      </c>
      <c r="T16" s="1">
        <v>115.1</v>
      </c>
      <c r="U16" s="1">
        <v>92.2</v>
      </c>
      <c r="V16" s="1">
        <v>82</v>
      </c>
      <c r="W16" s="1">
        <f>105.9+4.6</f>
        <v>110.5</v>
      </c>
      <c r="X16" s="1">
        <f>151.4+2</f>
        <v>153.4</v>
      </c>
      <c r="Y16" s="1">
        <f>112.7+14.4</f>
        <v>127.10000000000001</v>
      </c>
      <c r="Z16" s="1">
        <v>98.6</v>
      </c>
      <c r="AA16" s="1">
        <f>AA15*0.2</f>
        <v>123.45129599999996</v>
      </c>
      <c r="AB16" s="1">
        <f t="shared" ref="AB16:AD16" si="68">AB15*0.2</f>
        <v>146.57677199999995</v>
      </c>
      <c r="AC16" s="1">
        <f t="shared" si="68"/>
        <v>159.02084000000002</v>
      </c>
      <c r="AD16" s="1">
        <f t="shared" si="68"/>
        <v>157.89459599999998</v>
      </c>
      <c r="AH16" s="1">
        <f>217.2+69.2</f>
        <v>286.39999999999998</v>
      </c>
      <c r="AI16" s="1">
        <f>216.9+73.3</f>
        <v>290.2</v>
      </c>
      <c r="AJ16" s="1">
        <f>171.6-239.8</f>
        <v>-68.200000000000017</v>
      </c>
      <c r="AK16" s="1">
        <f>SUM(O16:R16)</f>
        <v>139.1</v>
      </c>
      <c r="AL16" s="1">
        <f>SUM(S16:V16)</f>
        <v>370.5</v>
      </c>
      <c r="AM16" s="1">
        <f>SUM(W16:Z16)</f>
        <v>489.6</v>
      </c>
      <c r="AN16" s="1">
        <f t="shared" si="3"/>
        <v>586.94350399999985</v>
      </c>
      <c r="AO16" s="1">
        <f>AO15*0.2</f>
        <v>698.53940499999976</v>
      </c>
      <c r="AP16" s="1">
        <f t="shared" ref="AP16:AX16" si="69">AP15*0.2</f>
        <v>759.5809526700001</v>
      </c>
      <c r="AQ16" s="1">
        <f t="shared" si="69"/>
        <v>805.35310948350002</v>
      </c>
      <c r="AR16" s="1">
        <f t="shared" si="69"/>
        <v>832.15879481256309</v>
      </c>
      <c r="AS16" s="1">
        <f t="shared" si="69"/>
        <v>857.33755234214232</v>
      </c>
      <c r="AT16" s="1">
        <f t="shared" si="69"/>
        <v>869.41627510796388</v>
      </c>
      <c r="AU16" s="1">
        <f t="shared" si="69"/>
        <v>869.61007955385799</v>
      </c>
      <c r="AV16" s="1">
        <f t="shared" si="69"/>
        <v>869.64164147121744</v>
      </c>
      <c r="AW16" s="1">
        <f t="shared" si="69"/>
        <v>869.50622962109082</v>
      </c>
      <c r="AX16" s="1">
        <f t="shared" si="69"/>
        <v>869.19900851979662</v>
      </c>
    </row>
    <row r="17" spans="2:148" x14ac:dyDescent="0.3">
      <c r="B17" t="s">
        <v>51</v>
      </c>
      <c r="K17" s="1">
        <v>0</v>
      </c>
      <c r="O17" s="1">
        <v>0.2</v>
      </c>
      <c r="P17" s="1">
        <v>-1.9</v>
      </c>
      <c r="Q17" s="1">
        <v>-5.3</v>
      </c>
      <c r="R17" s="1">
        <v>0</v>
      </c>
      <c r="S17" s="1">
        <v>-0.1</v>
      </c>
      <c r="T17" s="1">
        <v>1.8</v>
      </c>
      <c r="U17" s="1">
        <v>2.6</v>
      </c>
      <c r="V17" s="1">
        <v>0</v>
      </c>
      <c r="W17" s="1">
        <v>0.6</v>
      </c>
      <c r="X17" s="1">
        <v>2.2000000000000002</v>
      </c>
      <c r="Y17" s="1">
        <v>3.2</v>
      </c>
      <c r="Z17" s="15">
        <v>0</v>
      </c>
      <c r="AA17" s="1">
        <v>0</v>
      </c>
      <c r="AB17" s="1">
        <v>0</v>
      </c>
      <c r="AC17" s="1">
        <v>0</v>
      </c>
      <c r="AD17" s="1">
        <v>0</v>
      </c>
      <c r="AH17" s="1">
        <v>1</v>
      </c>
      <c r="AI17" s="1">
        <v>-16.600000000000001</v>
      </c>
      <c r="AJ17" s="1">
        <v>-18.5</v>
      </c>
      <c r="AK17" s="1">
        <f>SUM(O17:R17)</f>
        <v>-7</v>
      </c>
      <c r="AL17" s="1">
        <f>SUM(S17:V17)</f>
        <v>4.3</v>
      </c>
      <c r="AM17" s="1">
        <f>SUM(W17:Z17)</f>
        <v>6</v>
      </c>
      <c r="AN17" s="1">
        <f t="shared" si="3"/>
        <v>0</v>
      </c>
      <c r="AO17" s="1">
        <f t="shared" ref="AO17:AX17" si="70">AO15*0.002</f>
        <v>6.9853940499999974</v>
      </c>
      <c r="AP17" s="1">
        <f t="shared" si="70"/>
        <v>7.595809526700001</v>
      </c>
      <c r="AQ17" s="1">
        <f t="shared" si="70"/>
        <v>8.0535310948349998</v>
      </c>
      <c r="AR17" s="1">
        <f t="shared" si="70"/>
        <v>8.3215879481256305</v>
      </c>
      <c r="AS17" s="1">
        <f t="shared" si="70"/>
        <v>8.5733755234214222</v>
      </c>
      <c r="AT17" s="1">
        <f t="shared" si="70"/>
        <v>8.6941627510796398</v>
      </c>
      <c r="AU17" s="1">
        <f t="shared" si="70"/>
        <v>8.6961007955385803</v>
      </c>
      <c r="AV17" s="1">
        <f t="shared" si="70"/>
        <v>8.6964164147121732</v>
      </c>
      <c r="AW17" s="1">
        <f t="shared" si="70"/>
        <v>8.6950622962109083</v>
      </c>
      <c r="AX17" s="1">
        <f t="shared" si="70"/>
        <v>8.6919900851979666</v>
      </c>
    </row>
    <row r="18" spans="2:148" x14ac:dyDescent="0.3">
      <c r="B18" s="7" t="s">
        <v>52</v>
      </c>
      <c r="C18" s="7"/>
      <c r="D18" s="7"/>
      <c r="E18" s="7"/>
      <c r="F18" s="7"/>
      <c r="G18" s="7"/>
      <c r="H18" s="7"/>
      <c r="I18" s="7"/>
      <c r="J18" s="7"/>
      <c r="K18" s="9">
        <f>K15-K16-K17</f>
        <v>158.19999999999999</v>
      </c>
      <c r="L18" s="7"/>
      <c r="M18" s="7"/>
      <c r="N18" s="7"/>
      <c r="O18" s="9">
        <f t="shared" ref="O18:W18" si="71">O15-O16-O17</f>
        <v>-313.09999999999997</v>
      </c>
      <c r="P18" s="9">
        <f t="shared" si="71"/>
        <v>-487.40000000000015</v>
      </c>
      <c r="Q18" s="9">
        <f t="shared" si="71"/>
        <v>202.49999999999997</v>
      </c>
      <c r="R18" s="9">
        <f t="shared" si="71"/>
        <v>78.899999999999949</v>
      </c>
      <c r="S18" s="9">
        <f t="shared" si="71"/>
        <v>225.69999999999996</v>
      </c>
      <c r="T18" s="9">
        <f t="shared" si="71"/>
        <v>305.49999999999983</v>
      </c>
      <c r="U18" s="9">
        <f t="shared" si="71"/>
        <v>408.7000000000001</v>
      </c>
      <c r="V18" s="9">
        <f t="shared" si="71"/>
        <v>656.3</v>
      </c>
      <c r="W18" s="9">
        <f t="shared" si="71"/>
        <v>372.79999999999967</v>
      </c>
      <c r="X18" s="9">
        <f t="shared" ref="X18" si="72">X15-X16-X17</f>
        <v>496.09999999999997</v>
      </c>
      <c r="Y18" s="9">
        <f t="shared" ref="Y18" si="73">Y15-Y16-Y17</f>
        <v>539.79999999999995</v>
      </c>
      <c r="Z18" s="9">
        <f t="shared" ref="Z18:AD18" si="74">Z15-Z16-Z17</f>
        <v>-2921.9000000000005</v>
      </c>
      <c r="AA18" s="9">
        <f t="shared" si="74"/>
        <v>493.80518399999983</v>
      </c>
      <c r="AB18" s="9">
        <f t="shared" si="74"/>
        <v>586.30708799999979</v>
      </c>
      <c r="AC18" s="9">
        <f t="shared" si="74"/>
        <v>636.08335999999997</v>
      </c>
      <c r="AD18" s="9">
        <f t="shared" si="74"/>
        <v>631.5783839999998</v>
      </c>
      <c r="AH18" s="9">
        <f t="shared" ref="AH18:AN18" si="75">AH15-AH16-AH17</f>
        <v>803.39999999999975</v>
      </c>
      <c r="AI18" s="9">
        <f t="shared" si="75"/>
        <v>854.09999999999957</v>
      </c>
      <c r="AJ18" s="9">
        <f t="shared" si="75"/>
        <v>-1358.7</v>
      </c>
      <c r="AK18" s="9">
        <f t="shared" si="75"/>
        <v>-519.09999999999911</v>
      </c>
      <c r="AL18" s="9">
        <f t="shared" si="75"/>
        <v>1596.2000000000014</v>
      </c>
      <c r="AM18" s="9">
        <f t="shared" si="75"/>
        <v>-1513.1999999999989</v>
      </c>
      <c r="AN18" s="9">
        <f t="shared" si="75"/>
        <v>2347.7740160000003</v>
      </c>
      <c r="AO18" s="9">
        <f t="shared" ref="AO18" si="76">AO15-AO16-AO17</f>
        <v>2787.1722259499988</v>
      </c>
      <c r="AP18" s="9">
        <f t="shared" ref="AP18" si="77">AP15-AP16-AP17</f>
        <v>3030.7280011533003</v>
      </c>
      <c r="AQ18" s="9">
        <f t="shared" ref="AQ18" si="78">AQ15-AQ16-AQ17</f>
        <v>3213.3589068391652</v>
      </c>
      <c r="AR18" s="9">
        <f t="shared" ref="AR18" si="79">AR15-AR16-AR17</f>
        <v>3320.3135913021265</v>
      </c>
      <c r="AS18" s="9">
        <f t="shared" ref="AS18" si="80">AS15-AS16-AS17</f>
        <v>3420.7768338451474</v>
      </c>
      <c r="AT18" s="9">
        <f t="shared" ref="AT18" si="81">AT15-AT16-AT17</f>
        <v>3468.9709376807759</v>
      </c>
      <c r="AU18" s="9">
        <f t="shared" ref="AU18" si="82">AU15-AU16-AU17</f>
        <v>3469.7442174198932</v>
      </c>
      <c r="AV18" s="9">
        <f t="shared" ref="AV18" si="83">AV15-AV16-AV17</f>
        <v>3469.8701494701572</v>
      </c>
      <c r="AW18" s="9">
        <f t="shared" ref="AW18" si="84">AW15-AW16-AW17</f>
        <v>3469.3298561881525</v>
      </c>
      <c r="AX18" s="9">
        <f t="shared" ref="AX18" si="85">AX15-AX16-AX17</f>
        <v>3468.1040439939879</v>
      </c>
      <c r="AY18" s="9">
        <f>AX18*(1+$BC$23)</f>
        <v>3433.4230035540481</v>
      </c>
      <c r="AZ18" s="9">
        <f t="shared" ref="AZ18:DK18" si="86">AY18*(1+$BC$23)</f>
        <v>3399.0887735185074</v>
      </c>
      <c r="BA18" s="9">
        <f t="shared" si="86"/>
        <v>3365.0978857833225</v>
      </c>
      <c r="BB18" s="9">
        <f t="shared" si="86"/>
        <v>3331.4469069254892</v>
      </c>
      <c r="BC18" s="9">
        <f t="shared" si="86"/>
        <v>3298.1324378562344</v>
      </c>
      <c r="BD18" s="9">
        <f t="shared" si="86"/>
        <v>3265.151113477672</v>
      </c>
      <c r="BE18" s="9">
        <f t="shared" si="86"/>
        <v>3232.4996023428953</v>
      </c>
      <c r="BF18" s="9">
        <f t="shared" si="86"/>
        <v>3200.1746063194664</v>
      </c>
      <c r="BG18" s="9">
        <f t="shared" si="86"/>
        <v>3168.1728602562716</v>
      </c>
      <c r="BH18" s="9">
        <f t="shared" si="86"/>
        <v>3136.4911316537091</v>
      </c>
      <c r="BI18" s="9">
        <f t="shared" si="86"/>
        <v>3105.1262203371721</v>
      </c>
      <c r="BJ18" s="9">
        <f t="shared" si="86"/>
        <v>3074.0749581338005</v>
      </c>
      <c r="BK18" s="9">
        <f t="shared" si="86"/>
        <v>3043.3342085524623</v>
      </c>
      <c r="BL18" s="9">
        <f t="shared" si="86"/>
        <v>3012.9008664669377</v>
      </c>
      <c r="BM18" s="9">
        <f t="shared" si="86"/>
        <v>2982.7718578022682</v>
      </c>
      <c r="BN18" s="9">
        <f t="shared" si="86"/>
        <v>2952.9441392242456</v>
      </c>
      <c r="BO18" s="9">
        <f t="shared" si="86"/>
        <v>2923.4146978320032</v>
      </c>
      <c r="BP18" s="9">
        <f t="shared" si="86"/>
        <v>2894.1805508536831</v>
      </c>
      <c r="BQ18" s="9">
        <f t="shared" si="86"/>
        <v>2865.2387453451461</v>
      </c>
      <c r="BR18" s="9">
        <f t="shared" si="86"/>
        <v>2836.5863578916947</v>
      </c>
      <c r="BS18" s="9">
        <f t="shared" si="86"/>
        <v>2808.2204943127776</v>
      </c>
      <c r="BT18" s="9">
        <f t="shared" si="86"/>
        <v>2780.13828936965</v>
      </c>
      <c r="BU18" s="9">
        <f t="shared" si="86"/>
        <v>2752.3369064759536</v>
      </c>
      <c r="BV18" s="9">
        <f t="shared" si="86"/>
        <v>2724.8135374111939</v>
      </c>
      <c r="BW18" s="9">
        <f t="shared" si="86"/>
        <v>2697.5654020370821</v>
      </c>
      <c r="BX18" s="9">
        <f t="shared" si="86"/>
        <v>2670.5897480167114</v>
      </c>
      <c r="BY18" s="9">
        <f t="shared" si="86"/>
        <v>2643.8838505365443</v>
      </c>
      <c r="BZ18" s="9">
        <f t="shared" si="86"/>
        <v>2617.445012031179</v>
      </c>
      <c r="CA18" s="9">
        <f t="shared" si="86"/>
        <v>2591.2705619108669</v>
      </c>
      <c r="CB18" s="9">
        <f t="shared" si="86"/>
        <v>2565.3578562917583</v>
      </c>
      <c r="CC18" s="9">
        <f t="shared" si="86"/>
        <v>2539.7042777288407</v>
      </c>
      <c r="CD18" s="9">
        <f t="shared" si="86"/>
        <v>2514.3072349515523</v>
      </c>
      <c r="CE18" s="9">
        <f t="shared" si="86"/>
        <v>2489.1641626020369</v>
      </c>
      <c r="CF18" s="9">
        <f t="shared" si="86"/>
        <v>2464.2725209760165</v>
      </c>
      <c r="CG18" s="9">
        <f t="shared" si="86"/>
        <v>2439.6297957662564</v>
      </c>
      <c r="CH18" s="9">
        <f t="shared" si="86"/>
        <v>2415.2334978085937</v>
      </c>
      <c r="CI18" s="9">
        <f t="shared" si="86"/>
        <v>2391.0811628305078</v>
      </c>
      <c r="CJ18" s="9">
        <f t="shared" si="86"/>
        <v>2367.1703512022027</v>
      </c>
      <c r="CK18" s="9">
        <f t="shared" si="86"/>
        <v>2343.4986476901809</v>
      </c>
      <c r="CL18" s="9">
        <f t="shared" si="86"/>
        <v>2320.0636612132789</v>
      </c>
      <c r="CM18" s="9">
        <f t="shared" si="86"/>
        <v>2296.8630246011462</v>
      </c>
      <c r="CN18" s="9">
        <f t="shared" si="86"/>
        <v>2273.8943943551349</v>
      </c>
      <c r="CO18" s="9">
        <f t="shared" si="86"/>
        <v>2251.1554504115834</v>
      </c>
      <c r="CP18" s="9">
        <f t="shared" si="86"/>
        <v>2228.6438959074676</v>
      </c>
      <c r="CQ18" s="9">
        <f t="shared" si="86"/>
        <v>2206.3574569483931</v>
      </c>
      <c r="CR18" s="9">
        <f t="shared" si="86"/>
        <v>2184.2938823789091</v>
      </c>
      <c r="CS18" s="9">
        <f t="shared" si="86"/>
        <v>2162.4509435551199</v>
      </c>
      <c r="CT18" s="9">
        <f t="shared" si="86"/>
        <v>2140.8264341195686</v>
      </c>
      <c r="CU18" s="9">
        <f t="shared" si="86"/>
        <v>2119.4181697783729</v>
      </c>
      <c r="CV18" s="9">
        <f t="shared" si="86"/>
        <v>2098.2239880805892</v>
      </c>
      <c r="CW18" s="9">
        <f t="shared" si="86"/>
        <v>2077.2417481997832</v>
      </c>
      <c r="CX18" s="9">
        <f t="shared" si="86"/>
        <v>2056.4693307177854</v>
      </c>
      <c r="CY18" s="9">
        <f t="shared" si="86"/>
        <v>2035.9046374106076</v>
      </c>
      <c r="CZ18" s="9">
        <f t="shared" si="86"/>
        <v>2015.5455910365015</v>
      </c>
      <c r="DA18" s="9">
        <f t="shared" si="86"/>
        <v>1995.3901351261366</v>
      </c>
      <c r="DB18" s="9">
        <f t="shared" si="86"/>
        <v>1975.4362337748751</v>
      </c>
      <c r="DC18" s="9">
        <f t="shared" si="86"/>
        <v>1955.6818714371263</v>
      </c>
      <c r="DD18" s="9">
        <f t="shared" si="86"/>
        <v>1936.1250527227551</v>
      </c>
      <c r="DE18" s="9">
        <f t="shared" si="86"/>
        <v>1916.7638021955274</v>
      </c>
      <c r="DF18" s="9">
        <f t="shared" si="86"/>
        <v>1897.5961641735721</v>
      </c>
      <c r="DG18" s="9">
        <f t="shared" si="86"/>
        <v>1878.6202025318364</v>
      </c>
      <c r="DH18" s="9">
        <f t="shared" si="86"/>
        <v>1859.8340005065181</v>
      </c>
      <c r="DI18" s="9">
        <f t="shared" si="86"/>
        <v>1841.2356605014529</v>
      </c>
      <c r="DJ18" s="9">
        <f t="shared" si="86"/>
        <v>1822.8233038964383</v>
      </c>
      <c r="DK18" s="9">
        <f t="shared" si="86"/>
        <v>1804.595070857474</v>
      </c>
      <c r="DL18" s="9">
        <f t="shared" ref="DL18:ER18" si="87">DK18*(1+$BC$23)</f>
        <v>1786.5491201488992</v>
      </c>
      <c r="DM18" s="9">
        <f t="shared" si="87"/>
        <v>1768.6836289474102</v>
      </c>
      <c r="DN18" s="9">
        <f t="shared" si="87"/>
        <v>1750.9967926579361</v>
      </c>
      <c r="DO18" s="9">
        <f t="shared" si="87"/>
        <v>1733.4868247313568</v>
      </c>
      <c r="DP18" s="9">
        <f t="shared" si="87"/>
        <v>1716.1519564840432</v>
      </c>
      <c r="DQ18" s="9">
        <f t="shared" si="87"/>
        <v>1698.9904369192027</v>
      </c>
      <c r="DR18" s="9">
        <f t="shared" si="87"/>
        <v>1682.0005325500106</v>
      </c>
      <c r="DS18" s="9">
        <f t="shared" si="87"/>
        <v>1665.1805272245103</v>
      </c>
      <c r="DT18" s="9">
        <f t="shared" si="87"/>
        <v>1648.5287219522652</v>
      </c>
      <c r="DU18" s="9">
        <f t="shared" si="87"/>
        <v>1632.0434347327425</v>
      </c>
      <c r="DV18" s="9">
        <f t="shared" si="87"/>
        <v>1615.7230003854152</v>
      </c>
      <c r="DW18" s="9">
        <f t="shared" si="87"/>
        <v>1599.5657703815609</v>
      </c>
      <c r="DX18" s="9">
        <f t="shared" si="87"/>
        <v>1583.5701126777453</v>
      </c>
      <c r="DY18" s="9">
        <f t="shared" si="87"/>
        <v>1567.7344115509679</v>
      </c>
      <c r="DZ18" s="9">
        <f t="shared" si="87"/>
        <v>1552.0570674354583</v>
      </c>
      <c r="EA18" s="9">
        <f t="shared" si="87"/>
        <v>1536.5364967611038</v>
      </c>
      <c r="EB18" s="9">
        <f t="shared" si="87"/>
        <v>1521.1711317934928</v>
      </c>
      <c r="EC18" s="9">
        <f t="shared" si="87"/>
        <v>1505.9594204755579</v>
      </c>
      <c r="ED18" s="9">
        <f t="shared" si="87"/>
        <v>1490.8998262708024</v>
      </c>
      <c r="EE18" s="9">
        <f t="shared" si="87"/>
        <v>1475.9908280080942</v>
      </c>
      <c r="EF18" s="9">
        <f t="shared" si="87"/>
        <v>1461.2309197280133</v>
      </c>
      <c r="EG18" s="9">
        <f t="shared" si="87"/>
        <v>1446.6186105307331</v>
      </c>
      <c r="EH18" s="9">
        <f t="shared" si="87"/>
        <v>1432.1524244254258</v>
      </c>
      <c r="EI18" s="9">
        <f t="shared" si="87"/>
        <v>1417.8309001811715</v>
      </c>
      <c r="EJ18" s="9">
        <f t="shared" si="87"/>
        <v>1403.6525911793597</v>
      </c>
      <c r="EK18" s="9">
        <f t="shared" si="87"/>
        <v>1389.616065267566</v>
      </c>
      <c r="EL18" s="9">
        <f t="shared" si="87"/>
        <v>1375.7199046148903</v>
      </c>
      <c r="EM18" s="9">
        <f t="shared" si="87"/>
        <v>1361.9627055687413</v>
      </c>
      <c r="EN18" s="9">
        <f t="shared" si="87"/>
        <v>1348.3430785130538</v>
      </c>
      <c r="EO18" s="9">
        <f t="shared" si="87"/>
        <v>1334.8596477279232</v>
      </c>
      <c r="EP18" s="9">
        <f t="shared" si="87"/>
        <v>1321.511051250644</v>
      </c>
      <c r="EQ18" s="9">
        <f t="shared" si="87"/>
        <v>1308.2959407381375</v>
      </c>
      <c r="ER18" s="9">
        <f t="shared" si="87"/>
        <v>1295.2129813307561</v>
      </c>
    </row>
    <row r="19" spans="2:148" x14ac:dyDescent="0.3">
      <c r="B19" t="s">
        <v>1</v>
      </c>
      <c r="K19" s="1">
        <v>309</v>
      </c>
      <c r="O19" s="1">
        <v>309</v>
      </c>
      <c r="P19" s="1">
        <v>309</v>
      </c>
      <c r="Q19" s="1">
        <v>309</v>
      </c>
      <c r="R19" s="1">
        <v>309</v>
      </c>
      <c r="S19" s="1">
        <v>309</v>
      </c>
      <c r="T19" s="1">
        <v>309</v>
      </c>
      <c r="U19" s="1">
        <v>309</v>
      </c>
      <c r="V19" s="1">
        <v>309</v>
      </c>
      <c r="W19" s="1">
        <v>309</v>
      </c>
      <c r="X19" s="1">
        <v>307.5</v>
      </c>
      <c r="Y19" s="1">
        <v>297</v>
      </c>
      <c r="Z19" s="1">
        <v>293.10000000000002</v>
      </c>
      <c r="AA19" s="1">
        <v>293.10000000000002</v>
      </c>
      <c r="AB19" s="1">
        <v>293.10000000000002</v>
      </c>
      <c r="AC19" s="1">
        <v>293.10000000000002</v>
      </c>
      <c r="AD19" s="1">
        <v>293.10000000000002</v>
      </c>
      <c r="AH19" s="1">
        <v>309</v>
      </c>
      <c r="AI19" s="1">
        <v>309</v>
      </c>
      <c r="AJ19" s="1">
        <v>309</v>
      </c>
      <c r="AK19" s="1">
        <v>309</v>
      </c>
      <c r="AL19" s="1">
        <v>309</v>
      </c>
      <c r="AM19" s="1">
        <v>293.10000000000002</v>
      </c>
      <c r="AN19" s="1">
        <v>293.10000000000002</v>
      </c>
      <c r="AO19" s="1">
        <v>293.10000000000002</v>
      </c>
      <c r="AP19" s="1">
        <v>293.10000000000002</v>
      </c>
      <c r="AQ19" s="1">
        <v>293.10000000000002</v>
      </c>
      <c r="AR19" s="1">
        <v>293.10000000000002</v>
      </c>
      <c r="AS19" s="1">
        <v>293.10000000000002</v>
      </c>
      <c r="AT19" s="1">
        <v>293.10000000000002</v>
      </c>
      <c r="AU19" s="1">
        <v>293.10000000000002</v>
      </c>
      <c r="AV19" s="1">
        <v>293.10000000000002</v>
      </c>
      <c r="AW19" s="1">
        <v>293.10000000000002</v>
      </c>
      <c r="AX19" s="1">
        <v>293.10000000000002</v>
      </c>
    </row>
    <row r="20" spans="2:148" x14ac:dyDescent="0.3">
      <c r="B20" t="s">
        <v>53</v>
      </c>
      <c r="K20" s="8">
        <f>K18/K19</f>
        <v>0.51197411003236237</v>
      </c>
      <c r="O20" s="8">
        <f t="shared" ref="O20:W20" si="88">O18/O19</f>
        <v>-1.0132686084142393</v>
      </c>
      <c r="P20" s="8">
        <f t="shared" si="88"/>
        <v>-1.5773462783171526</v>
      </c>
      <c r="Q20" s="8">
        <f t="shared" si="88"/>
        <v>0.65533980582524265</v>
      </c>
      <c r="R20" s="8">
        <f t="shared" si="88"/>
        <v>0.25533980582524257</v>
      </c>
      <c r="S20" s="8">
        <f t="shared" si="88"/>
        <v>0.73042071197410985</v>
      </c>
      <c r="T20" s="8">
        <f t="shared" si="88"/>
        <v>0.98867313915857546</v>
      </c>
      <c r="U20" s="8">
        <f t="shared" si="88"/>
        <v>1.3226537216828482</v>
      </c>
      <c r="V20" s="8">
        <f t="shared" si="88"/>
        <v>2.1239482200647246</v>
      </c>
      <c r="W20" s="8">
        <f t="shared" si="88"/>
        <v>1.2064724919093841</v>
      </c>
      <c r="X20" s="8">
        <f t="shared" ref="X20" si="89">X18/X19</f>
        <v>1.6133333333333333</v>
      </c>
      <c r="Y20" s="8">
        <f t="shared" ref="Y20" si="90">Y18/Y19</f>
        <v>1.8175084175084173</v>
      </c>
      <c r="Z20" s="8">
        <f t="shared" ref="Z20:AD20" si="91">Z18/Z19</f>
        <v>-9.9689525759126596</v>
      </c>
      <c r="AA20" s="8">
        <f t="shared" si="91"/>
        <v>1.6847669191402244</v>
      </c>
      <c r="AB20" s="8">
        <f t="shared" si="91"/>
        <v>2.0003653633572149</v>
      </c>
      <c r="AC20" s="8">
        <f t="shared" si="91"/>
        <v>2.1701922893210503</v>
      </c>
      <c r="AD20" s="8">
        <f t="shared" si="91"/>
        <v>2.1548221903787095</v>
      </c>
      <c r="AH20" s="8">
        <f t="shared" ref="AH20:AN20" si="92">AH18/AH19</f>
        <v>2.5999999999999992</v>
      </c>
      <c r="AI20" s="8">
        <f t="shared" si="92"/>
        <v>2.7640776699029113</v>
      </c>
      <c r="AJ20" s="8">
        <f t="shared" si="92"/>
        <v>-4.3970873786407765</v>
      </c>
      <c r="AK20" s="8">
        <f t="shared" si="92"/>
        <v>-1.6799352750809033</v>
      </c>
      <c r="AL20" s="8">
        <f t="shared" si="92"/>
        <v>5.1656957928802631</v>
      </c>
      <c r="AM20" s="8">
        <f t="shared" si="92"/>
        <v>-5.1627430910951855</v>
      </c>
      <c r="AN20" s="8">
        <f t="shared" si="92"/>
        <v>8.010146762197202</v>
      </c>
      <c r="AO20" s="8">
        <f t="shared" ref="AO20" si="93">AO18/AO19</f>
        <v>9.5092877036847447</v>
      </c>
      <c r="AP20" s="8">
        <f t="shared" ref="AP20" si="94">AP18/AP19</f>
        <v>10.340252477493348</v>
      </c>
      <c r="AQ20" s="8">
        <f t="shared" ref="AQ20" si="95">AQ18/AQ19</f>
        <v>10.963353486315814</v>
      </c>
      <c r="AR20" s="8">
        <f t="shared" ref="AR20" si="96">AR18/AR19</f>
        <v>11.32826199693663</v>
      </c>
      <c r="AS20" s="8">
        <f t="shared" ref="AS20" si="97">AS18/AS19</f>
        <v>11.671022974565497</v>
      </c>
      <c r="AT20" s="8">
        <f t="shared" ref="AT20" si="98">AT18/AT19</f>
        <v>11.835451851520899</v>
      </c>
      <c r="AU20" s="8">
        <f t="shared" ref="AU20" si="99">AU18/AU19</f>
        <v>11.838090131081177</v>
      </c>
      <c r="AV20" s="8">
        <f t="shared" ref="AV20" si="100">AV18/AV19</f>
        <v>11.838519786660379</v>
      </c>
      <c r="AW20" s="8">
        <f t="shared" ref="AW20" si="101">AW18/AW19</f>
        <v>11.836676411423241</v>
      </c>
      <c r="AX20" s="8">
        <f t="shared" ref="AX20" si="102">AX18/AX19</f>
        <v>11.832494179440422</v>
      </c>
    </row>
    <row r="22" spans="2:148" x14ac:dyDescent="0.3">
      <c r="B22" t="s">
        <v>57</v>
      </c>
      <c r="O22" s="10">
        <f>O3/K3-1</f>
        <v>0.74332390826264527</v>
      </c>
      <c r="P22" s="10"/>
      <c r="Q22" s="10"/>
      <c r="R22" s="10"/>
      <c r="S22" s="10">
        <f t="shared" ref="S22:Z22" si="103">S3/O3-1</f>
        <v>0.32113894395386566</v>
      </c>
      <c r="T22" s="10">
        <f t="shared" si="103"/>
        <v>0.3842478167737684</v>
      </c>
      <c r="U22" s="10">
        <f t="shared" si="103"/>
        <v>0.28135143110061978</v>
      </c>
      <c r="V22" s="10">
        <f t="shared" si="103"/>
        <v>0.11609668295191566</v>
      </c>
      <c r="W22" s="10">
        <f t="shared" si="103"/>
        <v>2.2779975446733047E-2</v>
      </c>
      <c r="X22" s="10">
        <f t="shared" si="103"/>
        <v>-3.8804904178074029E-2</v>
      </c>
      <c r="Y22" s="10">
        <f t="shared" si="103"/>
        <v>-4.5595854922279799E-2</v>
      </c>
      <c r="Z22" s="10">
        <f t="shared" si="103"/>
        <v>-4.4119341089736253E-2</v>
      </c>
      <c r="AA22" s="10">
        <f t="shared" ref="AA22:AA25" si="104">AA3/W3-1</f>
        <v>-4.0000000000000147E-2</v>
      </c>
      <c r="AB22" s="10">
        <f t="shared" ref="AB22:AB25" si="105">AB3/X3-1</f>
        <v>-4.0000000000000036E-2</v>
      </c>
      <c r="AC22" s="10">
        <f t="shared" ref="AC22:AC25" si="106">AC3/Y3-1</f>
        <v>-3.0000000000000138E-2</v>
      </c>
      <c r="AD22" s="10">
        <f t="shared" ref="AD22:AD25" si="107">AD3/Z3-1</f>
        <v>-2.0000000000000018E-2</v>
      </c>
      <c r="AH22" s="10"/>
      <c r="AI22" s="10">
        <f t="shared" ref="AI22:AL25" si="108">AI3/AH3-1</f>
        <v>0.48526548098143585</v>
      </c>
      <c r="AJ22" s="10">
        <f t="shared" si="108"/>
        <v>0.42199108469539404</v>
      </c>
      <c r="AK22" s="10">
        <f t="shared" si="108"/>
        <v>0.60882660274140976</v>
      </c>
      <c r="AL22" s="10">
        <f t="shared" si="108"/>
        <v>0.26453732711851452</v>
      </c>
      <c r="AM22" s="10">
        <f>AM3/AL3-1</f>
        <v>-2.8340080971659853E-2</v>
      </c>
      <c r="AN22" s="10">
        <f t="shared" ref="AN22:AX22" si="109">AN3/AM3-1</f>
        <v>-3.2262126865671648E-2</v>
      </c>
      <c r="AO22" s="10">
        <f t="shared" si="109"/>
        <v>1.0000000000000009E-2</v>
      </c>
      <c r="AP22" s="10">
        <f t="shared" si="109"/>
        <v>1.0000000000000009E-2</v>
      </c>
      <c r="AQ22" s="10">
        <f t="shared" si="109"/>
        <v>1.0000000000000009E-2</v>
      </c>
      <c r="AR22" s="10">
        <f t="shared" si="109"/>
        <v>1.0000000000000009E-2</v>
      </c>
      <c r="AS22" s="10">
        <f t="shared" si="109"/>
        <v>1.0000000000000009E-2</v>
      </c>
      <c r="AT22" s="10">
        <f t="shared" si="109"/>
        <v>1.0000000000000009E-2</v>
      </c>
      <c r="AU22" s="10">
        <f t="shared" si="109"/>
        <v>1.0000000000000009E-2</v>
      </c>
      <c r="AV22" s="10">
        <f t="shared" si="109"/>
        <v>1.0000000000000009E-2</v>
      </c>
      <c r="AW22" s="10">
        <f t="shared" si="109"/>
        <v>1.0000000000000009E-2</v>
      </c>
      <c r="AX22" s="10">
        <f t="shared" si="109"/>
        <v>1.0000000000000009E-2</v>
      </c>
    </row>
    <row r="23" spans="2:148" x14ac:dyDescent="0.3">
      <c r="B23" t="s">
        <v>58</v>
      </c>
      <c r="O23" s="10">
        <f t="shared" ref="O23:Z23" si="110">O4/K4-1</f>
        <v>2.0893495353824156</v>
      </c>
      <c r="P23" s="10"/>
      <c r="Q23" s="10"/>
      <c r="R23" s="10"/>
      <c r="S23" s="10">
        <f t="shared" si="110"/>
        <v>2.9847292919944479E-2</v>
      </c>
      <c r="T23" s="10">
        <f t="shared" si="110"/>
        <v>4.4540886249428979E-2</v>
      </c>
      <c r="U23" s="10">
        <f t="shared" si="110"/>
        <v>8.6772983114446589E-2</v>
      </c>
      <c r="V23" s="10">
        <f t="shared" si="110"/>
        <v>-1.1838140335772684E-2</v>
      </c>
      <c r="W23" s="10">
        <f t="shared" si="110"/>
        <v>2.6061559200179607E-2</v>
      </c>
      <c r="X23" s="10">
        <f t="shared" si="110"/>
        <v>-8.7469932210803014E-3</v>
      </c>
      <c r="Y23" s="10">
        <f t="shared" si="110"/>
        <v>4.747518342684609E-3</v>
      </c>
      <c r="Z23" s="10">
        <f t="shared" si="110"/>
        <v>2.6573731213243246E-2</v>
      </c>
      <c r="AA23" s="10">
        <f t="shared" si="104"/>
        <v>1.0000000000000009E-2</v>
      </c>
      <c r="AB23" s="10">
        <f t="shared" si="105"/>
        <v>3.0000000000000027E-2</v>
      </c>
      <c r="AC23" s="10">
        <f t="shared" si="106"/>
        <v>2.0000000000000018E-2</v>
      </c>
      <c r="AD23" s="10">
        <f t="shared" si="107"/>
        <v>2.0000000000000018E-2</v>
      </c>
      <c r="AH23" s="10"/>
      <c r="AI23" s="10">
        <f t="shared" si="108"/>
        <v>0.17008443908323279</v>
      </c>
      <c r="AJ23" s="10">
        <f t="shared" si="108"/>
        <v>1.7626288659793818</v>
      </c>
      <c r="AK23" s="10">
        <f t="shared" si="108"/>
        <v>0.6428771340610131</v>
      </c>
      <c r="AL23" s="10">
        <f t="shared" si="108"/>
        <v>3.6286201022146525E-2</v>
      </c>
      <c r="AM23" s="10">
        <f t="shared" ref="AM23:AX25" si="111">AM4/AL4-1</f>
        <v>1.2055455093429757E-2</v>
      </c>
      <c r="AN23" s="10">
        <f t="shared" si="111"/>
        <v>1.9981590773729074E-2</v>
      </c>
      <c r="AO23" s="10">
        <f t="shared" si="111"/>
        <v>2.0000000000000018E-2</v>
      </c>
      <c r="AP23" s="10">
        <f t="shared" si="111"/>
        <v>2.0000000000000018E-2</v>
      </c>
      <c r="AQ23" s="10">
        <f t="shared" si="111"/>
        <v>2.0000000000000018E-2</v>
      </c>
      <c r="AR23" s="10">
        <f t="shared" si="111"/>
        <v>2.0000000000000018E-2</v>
      </c>
      <c r="AS23" s="10">
        <f t="shared" si="111"/>
        <v>2.0000000000000018E-2</v>
      </c>
      <c r="AT23" s="10">
        <f t="shared" si="111"/>
        <v>1.0000000000000009E-2</v>
      </c>
      <c r="AU23" s="10">
        <f t="shared" si="111"/>
        <v>1.0000000000000009E-2</v>
      </c>
      <c r="AV23" s="10">
        <f t="shared" si="111"/>
        <v>1.0000000000000009E-2</v>
      </c>
      <c r="AW23" s="10">
        <f t="shared" si="111"/>
        <v>1.0000000000000009E-2</v>
      </c>
      <c r="AX23" s="10">
        <f t="shared" si="111"/>
        <v>1.0000000000000009E-2</v>
      </c>
      <c r="BB23" t="s">
        <v>62</v>
      </c>
      <c r="BC23" s="10">
        <v>-0.01</v>
      </c>
    </row>
    <row r="24" spans="2:148" x14ac:dyDescent="0.3">
      <c r="B24" t="s">
        <v>59</v>
      </c>
      <c r="O24" s="10">
        <f t="shared" ref="O24:Z24" si="112">O5/K5-1</f>
        <v>1.5753796095444685</v>
      </c>
      <c r="P24" s="10"/>
      <c r="Q24" s="10"/>
      <c r="R24" s="10"/>
      <c r="S24" s="10">
        <f t="shared" si="112"/>
        <v>0.44767319435670672</v>
      </c>
      <c r="T24" s="10">
        <f t="shared" si="112"/>
        <v>0.32361990950226227</v>
      </c>
      <c r="U24" s="10">
        <f t="shared" si="112"/>
        <v>0.2950623202301057</v>
      </c>
      <c r="V24" s="10">
        <f t="shared" si="112"/>
        <v>0.32982877741063388</v>
      </c>
      <c r="W24" s="10">
        <f t="shared" si="112"/>
        <v>0.2662545454545453</v>
      </c>
      <c r="X24" s="10">
        <f t="shared" si="112"/>
        <v>0.24894024340216059</v>
      </c>
      <c r="Y24" s="10">
        <f t="shared" si="112"/>
        <v>0.18384847923992842</v>
      </c>
      <c r="Z24" s="10">
        <f t="shared" si="112"/>
        <v>0.23650327535577143</v>
      </c>
      <c r="AA24" s="10">
        <f t="shared" si="104"/>
        <v>0.18999999999999995</v>
      </c>
      <c r="AB24" s="10">
        <f t="shared" si="105"/>
        <v>0.16999999999999993</v>
      </c>
      <c r="AC24" s="10">
        <f t="shared" si="106"/>
        <v>0.14999999999999991</v>
      </c>
      <c r="AD24" s="10">
        <f t="shared" si="107"/>
        <v>8.0000000000000071E-2</v>
      </c>
      <c r="AH24" s="10"/>
      <c r="AI24" s="10">
        <f t="shared" si="108"/>
        <v>0.27892529895946572</v>
      </c>
      <c r="AJ24" s="10">
        <f t="shared" si="108"/>
        <v>0.14007285974499095</v>
      </c>
      <c r="AK24" s="10">
        <f t="shared" si="108"/>
        <v>1.4700431378814507</v>
      </c>
      <c r="AL24" s="10">
        <f t="shared" si="108"/>
        <v>0.34310047434238911</v>
      </c>
      <c r="AM24" s="10">
        <f t="shared" si="111"/>
        <v>0.23228934230170339</v>
      </c>
      <c r="AN24" s="10">
        <f t="shared" si="111"/>
        <v>0.14386501309224475</v>
      </c>
      <c r="AO24" s="10">
        <f t="shared" si="111"/>
        <v>0.10000000000000009</v>
      </c>
      <c r="AP24" s="10">
        <f t="shared" si="111"/>
        <v>8.0000000000000071E-2</v>
      </c>
      <c r="AQ24" s="10">
        <f t="shared" si="111"/>
        <v>6.0000000000000053E-2</v>
      </c>
      <c r="AR24" s="10">
        <f t="shared" si="111"/>
        <v>4.0000000000000036E-2</v>
      </c>
      <c r="AS24" s="10">
        <f t="shared" si="111"/>
        <v>3.0000000000000027E-2</v>
      </c>
      <c r="AT24" s="10">
        <f t="shared" si="111"/>
        <v>2.0000000000000018E-2</v>
      </c>
      <c r="AU24" s="10">
        <f t="shared" si="111"/>
        <v>1.0000000000000009E-2</v>
      </c>
      <c r="AV24" s="10">
        <f t="shared" si="111"/>
        <v>1.0000000000000009E-2</v>
      </c>
      <c r="AW24" s="10">
        <f t="shared" si="111"/>
        <v>1.0000000000000009E-2</v>
      </c>
      <c r="AX24" s="10">
        <f t="shared" si="111"/>
        <v>1.0000000000000009E-2</v>
      </c>
      <c r="BB24" t="s">
        <v>63</v>
      </c>
      <c r="BC24" s="10">
        <v>0.15</v>
      </c>
    </row>
    <row r="25" spans="2:148" x14ac:dyDescent="0.3">
      <c r="B25" s="7" t="s">
        <v>54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1">
        <f t="shared" ref="O25:Z25" si="113">O6/K6-1</f>
        <v>1.3420798065296249</v>
      </c>
      <c r="P25" s="11"/>
      <c r="Q25" s="11"/>
      <c r="R25" s="11"/>
      <c r="S25" s="11">
        <f t="shared" si="113"/>
        <v>0.31818885848520839</v>
      </c>
      <c r="T25" s="11">
        <f t="shared" si="113"/>
        <v>0.28390007908080217</v>
      </c>
      <c r="U25" s="11">
        <f t="shared" si="113"/>
        <v>0.25341709822565606</v>
      </c>
      <c r="V25" s="11">
        <f t="shared" si="113"/>
        <v>0.20357420357420364</v>
      </c>
      <c r="W25" s="11">
        <f t="shared" si="113"/>
        <v>0.15447281842393856</v>
      </c>
      <c r="X25" s="11">
        <f t="shared" si="113"/>
        <v>0.11865942028985499</v>
      </c>
      <c r="Y25" s="11">
        <f t="shared" si="113"/>
        <v>8.8255215388783448E-2</v>
      </c>
      <c r="Z25" s="11">
        <f t="shared" si="113"/>
        <v>0.12675919948353775</v>
      </c>
      <c r="AA25" s="11">
        <f t="shared" si="104"/>
        <v>0.10360428823449563</v>
      </c>
      <c r="AB25" s="11">
        <f t="shared" si="105"/>
        <v>9.4522429149797471E-2</v>
      </c>
      <c r="AC25" s="11">
        <f t="shared" si="106"/>
        <v>8.4732681894566619E-2</v>
      </c>
      <c r="AD25" s="11">
        <f t="shared" si="107"/>
        <v>4.8127309708654531E-2</v>
      </c>
      <c r="AH25" s="10"/>
      <c r="AI25" s="11">
        <f t="shared" si="108"/>
        <v>0.33033435159225011</v>
      </c>
      <c r="AJ25" s="11">
        <f t="shared" si="108"/>
        <v>0.43955836557516292</v>
      </c>
      <c r="AK25" s="11">
        <f t="shared" si="108"/>
        <v>0.97015186277723142</v>
      </c>
      <c r="AL25" s="11">
        <f t="shared" si="108"/>
        <v>0.26036999245818726</v>
      </c>
      <c r="AM25" s="11">
        <f t="shared" si="111"/>
        <v>0.12101372756071815</v>
      </c>
      <c r="AN25" s="11">
        <f t="shared" si="111"/>
        <v>8.1441534790253733E-2</v>
      </c>
      <c r="AO25" s="11">
        <f t="shared" si="111"/>
        <v>6.8729349553956931E-2</v>
      </c>
      <c r="AP25" s="11">
        <f t="shared" si="111"/>
        <v>5.7225314826856444E-2</v>
      </c>
      <c r="AQ25" s="11">
        <f t="shared" si="111"/>
        <v>4.4765864608810046E-2</v>
      </c>
      <c r="AR25" s="11">
        <f t="shared" si="111"/>
        <v>3.1626452272457195E-2</v>
      </c>
      <c r="AS25" s="11">
        <f t="shared" si="111"/>
        <v>2.4923901976308116E-2</v>
      </c>
      <c r="AT25" s="11">
        <f t="shared" si="111"/>
        <v>1.6888204453394895E-2</v>
      </c>
      <c r="AU25" s="11">
        <f t="shared" si="111"/>
        <v>1.0000000000000009E-2</v>
      </c>
      <c r="AV25" s="11">
        <f t="shared" si="111"/>
        <v>1.0000000000000009E-2</v>
      </c>
      <c r="AW25" s="11">
        <f t="shared" si="111"/>
        <v>1.0000000000000009E-2</v>
      </c>
      <c r="AX25" s="11">
        <f t="shared" si="111"/>
        <v>9.9999999999997868E-3</v>
      </c>
      <c r="BB25" t="s">
        <v>64</v>
      </c>
      <c r="BC25" s="12">
        <f>NPV(BC24,AN18:ER18)</f>
        <v>20748.911835943079</v>
      </c>
    </row>
    <row r="26" spans="2:148" x14ac:dyDescent="0.3">
      <c r="B26" t="s">
        <v>55</v>
      </c>
      <c r="K26" s="10">
        <f>K8/K6</f>
        <v>0.71015719467956462</v>
      </c>
      <c r="O26" s="10">
        <f>O8/O6</f>
        <v>0.6518147555371987</v>
      </c>
      <c r="P26" s="10">
        <f t="shared" ref="P26:R26" si="114">P8/P6</f>
        <v>0.70870354002884117</v>
      </c>
      <c r="Q26" s="10">
        <f t="shared" si="114"/>
        <v>0.71504372187791831</v>
      </c>
      <c r="R26" s="10">
        <f t="shared" si="114"/>
        <v>0.72882672882672883</v>
      </c>
      <c r="S26" s="10">
        <f t="shared" ref="S26:Z26" si="115">S8/S6</f>
        <v>0.71749177502741657</v>
      </c>
      <c r="T26" s="10">
        <f t="shared" si="115"/>
        <v>0.75170289855072459</v>
      </c>
      <c r="U26" s="10">
        <f t="shared" si="115"/>
        <v>0.73804524519100512</v>
      </c>
      <c r="V26" s="10">
        <f t="shared" si="115"/>
        <v>0.74089735313105232</v>
      </c>
      <c r="W26" s="10">
        <f t="shared" si="115"/>
        <v>0.72523408875016959</v>
      </c>
      <c r="X26" s="10">
        <f t="shared" si="115"/>
        <v>0.7274817813765182</v>
      </c>
      <c r="Y26" s="10">
        <f t="shared" si="115"/>
        <v>0.73268189456650279</v>
      </c>
      <c r="Z26" s="10">
        <f t="shared" si="115"/>
        <v>0.74824533761136724</v>
      </c>
      <c r="AA26" s="10">
        <f t="shared" ref="AA26:AD26" si="116">AA8/AA6</f>
        <v>0.73</v>
      </c>
      <c r="AB26" s="10">
        <f t="shared" si="116"/>
        <v>0.73</v>
      </c>
      <c r="AC26" s="10">
        <f t="shared" si="116"/>
        <v>0.74</v>
      </c>
      <c r="AD26" s="10">
        <f t="shared" si="116"/>
        <v>0.75</v>
      </c>
      <c r="AH26" s="10">
        <f t="shared" ref="AH26:AL26" si="117">AH8/AH6</f>
        <v>0.82135832949742638</v>
      </c>
      <c r="AI26" s="10">
        <f t="shared" si="117"/>
        <v>0.75782454153691292</v>
      </c>
      <c r="AJ26" s="10">
        <f t="shared" si="117"/>
        <v>0.62552168687861898</v>
      </c>
      <c r="AK26" s="10">
        <f t="shared" si="117"/>
        <v>0.70388403353888473</v>
      </c>
      <c r="AL26" s="10">
        <f t="shared" si="117"/>
        <v>0.73752199929602258</v>
      </c>
      <c r="AM26" s="10">
        <f t="shared" ref="AM26:AX26" si="118">AM8/AM6</f>
        <v>0.73396288620949512</v>
      </c>
      <c r="AN26" s="10">
        <f t="shared" si="118"/>
        <v>0.73784155567008058</v>
      </c>
      <c r="AO26" s="10">
        <f t="shared" si="118"/>
        <v>0.74</v>
      </c>
      <c r="AP26" s="10">
        <f t="shared" si="118"/>
        <v>0.74</v>
      </c>
      <c r="AQ26" s="10">
        <f t="shared" si="118"/>
        <v>0.74</v>
      </c>
      <c r="AR26" s="10">
        <f t="shared" si="118"/>
        <v>0.74</v>
      </c>
      <c r="AS26" s="10">
        <f t="shared" si="118"/>
        <v>0.74</v>
      </c>
      <c r="AT26" s="10">
        <f t="shared" si="118"/>
        <v>0.74</v>
      </c>
      <c r="AU26" s="10">
        <f t="shared" si="118"/>
        <v>0.74</v>
      </c>
      <c r="AV26" s="10">
        <f t="shared" si="118"/>
        <v>0.74</v>
      </c>
      <c r="AW26" s="10">
        <f t="shared" si="118"/>
        <v>0.74</v>
      </c>
      <c r="AX26" s="10">
        <f t="shared" si="118"/>
        <v>0.74</v>
      </c>
      <c r="BB26" t="s">
        <v>70</v>
      </c>
      <c r="BC26" s="12">
        <f>BC25/Main!D13</f>
        <v>3665.8854833821692</v>
      </c>
    </row>
    <row r="27" spans="2:148" x14ac:dyDescent="0.3">
      <c r="B27" t="s">
        <v>61</v>
      </c>
      <c r="K27" s="10">
        <f>K9/K6</f>
        <v>0.14220072551390567</v>
      </c>
      <c r="O27" s="10">
        <f>O9/O6</f>
        <v>0.12298001961897878</v>
      </c>
      <c r="P27" s="10">
        <f t="shared" ref="P27:R27" si="119">P9/P6</f>
        <v>0.12652928315578918</v>
      </c>
      <c r="Q27" s="10">
        <f t="shared" si="119"/>
        <v>0.12051107903896766</v>
      </c>
      <c r="R27" s="10">
        <f t="shared" si="119"/>
        <v>0.12711732711732712</v>
      </c>
      <c r="S27" s="10">
        <f t="shared" ref="S27:Z27" si="120">S9/S6</f>
        <v>0.11671627761240796</v>
      </c>
      <c r="T27" s="10">
        <f t="shared" si="120"/>
        <v>0.1101086956521739</v>
      </c>
      <c r="U27" s="10">
        <f t="shared" si="120"/>
        <v>9.424952587374695E-2</v>
      </c>
      <c r="V27" s="10">
        <f t="shared" si="120"/>
        <v>9.9612653324725631E-2</v>
      </c>
      <c r="W27" s="10">
        <f t="shared" si="120"/>
        <v>8.7189577961731587E-2</v>
      </c>
      <c r="X27" s="10">
        <f t="shared" si="120"/>
        <v>8.2753036437246963E-2</v>
      </c>
      <c r="Y27" s="10">
        <f t="shared" si="120"/>
        <v>9.7933652828779486E-2</v>
      </c>
      <c r="Z27" s="10">
        <f t="shared" si="120"/>
        <v>8.6888016730168743E-2</v>
      </c>
      <c r="AA27" s="10">
        <f t="shared" ref="AA27:AD27" si="121">AA9/AA6</f>
        <v>0.09</v>
      </c>
      <c r="AB27" s="10">
        <f t="shared" si="121"/>
        <v>0.09</v>
      </c>
      <c r="AC27" s="10">
        <f t="shared" si="121"/>
        <v>0.09</v>
      </c>
      <c r="AD27" s="10">
        <f t="shared" si="121"/>
        <v>0.09</v>
      </c>
      <c r="AH27" s="10">
        <f t="shared" ref="AH27:AL27" si="122">AH9/AH6</f>
        <v>0.1195966020839436</v>
      </c>
      <c r="AI27" s="10">
        <f t="shared" si="122"/>
        <v>0.12346261520556133</v>
      </c>
      <c r="AJ27" s="10">
        <f t="shared" si="122"/>
        <v>0.17771222549983612</v>
      </c>
      <c r="AK27" s="10">
        <f t="shared" si="122"/>
        <v>0.12436227319107404</v>
      </c>
      <c r="AL27" s="10">
        <f t="shared" si="122"/>
        <v>0.10461105244632174</v>
      </c>
      <c r="AM27" s="10">
        <f t="shared" ref="AM27:AX27" si="123">AM9/AM6</f>
        <v>8.8741836222054754E-2</v>
      </c>
      <c r="AN27" s="10">
        <f t="shared" si="123"/>
        <v>8.9999999999999983E-2</v>
      </c>
      <c r="AO27" s="10">
        <f t="shared" si="123"/>
        <v>0.09</v>
      </c>
      <c r="AP27" s="10">
        <f t="shared" si="123"/>
        <v>0.09</v>
      </c>
      <c r="AQ27" s="10">
        <f t="shared" si="123"/>
        <v>0.09</v>
      </c>
      <c r="AR27" s="10">
        <f t="shared" si="123"/>
        <v>0.09</v>
      </c>
      <c r="AS27" s="10">
        <f t="shared" si="123"/>
        <v>0.09</v>
      </c>
      <c r="AT27" s="10">
        <f t="shared" si="123"/>
        <v>0.09</v>
      </c>
      <c r="AU27" s="10">
        <f t="shared" si="123"/>
        <v>0.09</v>
      </c>
      <c r="AV27" s="10">
        <f t="shared" si="123"/>
        <v>0.09</v>
      </c>
      <c r="AW27" s="10">
        <f t="shared" si="123"/>
        <v>0.09</v>
      </c>
      <c r="AX27" s="10">
        <f t="shared" si="123"/>
        <v>0.09</v>
      </c>
      <c r="BB27" t="s">
        <v>65</v>
      </c>
      <c r="BC27" s="1">
        <f>Main!D10</f>
        <v>-1257.5441696113076</v>
      </c>
    </row>
    <row r="28" spans="2:148" x14ac:dyDescent="0.3">
      <c r="B28" t="s">
        <v>60</v>
      </c>
      <c r="K28" s="10">
        <f>K10/K6</f>
        <v>0.19685610640870618</v>
      </c>
      <c r="O28" s="10">
        <f>O10/O6</f>
        <v>0.19810005679178069</v>
      </c>
      <c r="P28" s="10">
        <f t="shared" ref="P28:R28" si="124">P10/P6</f>
        <v>0.15625436107363819</v>
      </c>
      <c r="Q28" s="10">
        <f t="shared" si="124"/>
        <v>0.16359623057984549</v>
      </c>
      <c r="R28" s="10">
        <f t="shared" si="124"/>
        <v>0.15777000777000777</v>
      </c>
      <c r="S28" s="10">
        <f t="shared" ref="S28:Z28" si="125">S10/S6</f>
        <v>0.15271032429891901</v>
      </c>
      <c r="T28" s="10">
        <f t="shared" si="125"/>
        <v>0.1492391304347826</v>
      </c>
      <c r="U28" s="10">
        <f t="shared" si="125"/>
        <v>0.1498238959631536</v>
      </c>
      <c r="V28" s="10">
        <f t="shared" si="125"/>
        <v>0.14654615881213687</v>
      </c>
      <c r="W28" s="10">
        <f t="shared" si="125"/>
        <v>0.17970552313746779</v>
      </c>
      <c r="X28" s="10">
        <f t="shared" si="125"/>
        <v>0.17000809716599188</v>
      </c>
      <c r="Y28" s="10">
        <f t="shared" si="125"/>
        <v>0.1561585859214539</v>
      </c>
      <c r="Z28" s="10">
        <f t="shared" si="125"/>
        <v>0.15730369266909217</v>
      </c>
      <c r="AA28" s="10">
        <f t="shared" ref="AA28:AD28" si="126">AA10/AA6</f>
        <v>0.17</v>
      </c>
      <c r="AB28" s="10">
        <f t="shared" si="126"/>
        <v>0.16999999999999998</v>
      </c>
      <c r="AC28" s="10">
        <f t="shared" si="126"/>
        <v>0.16000000000000003</v>
      </c>
      <c r="AD28" s="10">
        <f t="shared" si="126"/>
        <v>0.15</v>
      </c>
      <c r="AH28" s="10">
        <f t="shared" ref="AH28:AL28" si="127">AH10/AH6</f>
        <v>0.1508976022094824</v>
      </c>
      <c r="AI28" s="10">
        <f t="shared" si="127"/>
        <v>0.15913308798087508</v>
      </c>
      <c r="AJ28" s="10">
        <f t="shared" si="127"/>
        <v>0.22123893805309736</v>
      </c>
      <c r="AK28" s="10">
        <f t="shared" si="127"/>
        <v>0.16759460538574153</v>
      </c>
      <c r="AL28" s="10">
        <f t="shared" si="127"/>
        <v>0.14943681802182329</v>
      </c>
      <c r="AM28" s="10">
        <f t="shared" ref="AM28:AX28" si="128">AM10/AM6</f>
        <v>0.16527725445867872</v>
      </c>
      <c r="AN28" s="10">
        <f t="shared" si="128"/>
        <v>0.16215844432991935</v>
      </c>
      <c r="AO28" s="10">
        <f t="shared" si="128"/>
        <v>0.15</v>
      </c>
      <c r="AP28" s="10">
        <f t="shared" si="128"/>
        <v>0.15</v>
      </c>
      <c r="AQ28" s="10">
        <f t="shared" si="128"/>
        <v>0.15</v>
      </c>
      <c r="AR28" s="10">
        <f t="shared" si="128"/>
        <v>0.15</v>
      </c>
      <c r="AS28" s="10">
        <f t="shared" si="128"/>
        <v>0.15</v>
      </c>
      <c r="AT28" s="10">
        <f t="shared" si="128"/>
        <v>0.15</v>
      </c>
      <c r="AU28" s="10">
        <f t="shared" si="128"/>
        <v>0.15</v>
      </c>
      <c r="AV28" s="10">
        <f t="shared" si="128"/>
        <v>0.15</v>
      </c>
      <c r="AW28" s="10">
        <f t="shared" si="128"/>
        <v>0.15</v>
      </c>
      <c r="AX28" s="10">
        <f t="shared" si="128"/>
        <v>0.15</v>
      </c>
      <c r="BB28" t="s">
        <v>66</v>
      </c>
      <c r="BC28" s="12">
        <f>BC26-BC27</f>
        <v>4923.4296529934763</v>
      </c>
    </row>
    <row r="29" spans="2:148" x14ac:dyDescent="0.3">
      <c r="B29" t="s">
        <v>77</v>
      </c>
      <c r="K29" s="10"/>
      <c r="O29" s="10">
        <f>O11/K11-1</f>
        <v>6.6562162162162171</v>
      </c>
      <c r="P29" s="10"/>
      <c r="Q29" s="10"/>
      <c r="R29" s="10"/>
      <c r="S29" s="10">
        <f t="shared" ref="S29:Z29" si="129">S11/O11-1</f>
        <v>0.30415136966958478</v>
      </c>
      <c r="T29" s="10">
        <f t="shared" si="129"/>
        <v>0.124751230753116</v>
      </c>
      <c r="U29" s="10">
        <f t="shared" si="129"/>
        <v>0.12612995852387554</v>
      </c>
      <c r="V29" s="10">
        <f t="shared" si="129"/>
        <v>3.466812945693909E-2</v>
      </c>
      <c r="W29" s="10">
        <f t="shared" si="129"/>
        <v>-2.9233434387180623E-2</v>
      </c>
      <c r="X29" s="10">
        <f t="shared" si="129"/>
        <v>-0.20739430061463959</v>
      </c>
      <c r="Y29" s="10">
        <f t="shared" si="129"/>
        <v>-0.14014543394088208</v>
      </c>
      <c r="Z29" s="10">
        <f t="shared" si="129"/>
        <v>9.7974764075919873E-2</v>
      </c>
      <c r="AA29" s="10">
        <f t="shared" ref="AA29" si="130">AA11/W11-1</f>
        <v>5.0000000000000044E-2</v>
      </c>
      <c r="AB29" s="10">
        <f t="shared" ref="AB29" si="131">AB11/X11-1</f>
        <v>5.0000000000000044E-2</v>
      </c>
      <c r="AC29" s="10">
        <f t="shared" ref="AC29" si="132">AC11/Y11-1</f>
        <v>5.0000000000000044E-2</v>
      </c>
      <c r="AD29" s="10">
        <f t="shared" ref="AD29" si="133">AD11/Z11-1</f>
        <v>5.0000000000000044E-2</v>
      </c>
      <c r="AH29" s="10"/>
      <c r="AI29" s="10">
        <f>AI11/AH11-1</f>
        <v>-3.8755304101838695E-2</v>
      </c>
      <c r="AJ29" s="10">
        <f t="shared" ref="AJ29:AX29" si="134">AJ11/AI11-1</f>
        <v>2.7348440258975866</v>
      </c>
      <c r="AK29" s="10">
        <f t="shared" si="134"/>
        <v>1.7694429123000552</v>
      </c>
      <c r="AL29" s="10">
        <f t="shared" si="134"/>
        <v>0.13790650695649709</v>
      </c>
      <c r="AM29" s="10">
        <f t="shared" si="134"/>
        <v>-7.6436465469820525E-2</v>
      </c>
      <c r="AN29" s="10">
        <f t="shared" si="134"/>
        <v>5.0000000000000044E-2</v>
      </c>
      <c r="AO29" s="10">
        <f t="shared" si="134"/>
        <v>3.0000000000000027E-2</v>
      </c>
      <c r="AP29" s="10">
        <f t="shared" si="134"/>
        <v>3.0000000000000027E-2</v>
      </c>
      <c r="AQ29" s="10">
        <f t="shared" si="134"/>
        <v>3.0000000000000027E-2</v>
      </c>
      <c r="AR29" s="10">
        <f t="shared" si="134"/>
        <v>3.0000000000000027E-2</v>
      </c>
      <c r="AS29" s="10">
        <f t="shared" si="134"/>
        <v>2.0000000000000018E-2</v>
      </c>
      <c r="AT29" s="10">
        <f t="shared" si="134"/>
        <v>2.0000000000000018E-2</v>
      </c>
      <c r="AU29" s="10">
        <f t="shared" si="134"/>
        <v>2.0000000000000018E-2</v>
      </c>
      <c r="AV29" s="10">
        <f t="shared" si="134"/>
        <v>2.0000000000000018E-2</v>
      </c>
      <c r="AW29" s="10">
        <f t="shared" si="134"/>
        <v>2.0000000000000018E-2</v>
      </c>
      <c r="AX29" s="10">
        <f t="shared" si="134"/>
        <v>2.0000000000000018E-2</v>
      </c>
      <c r="BB29" t="s">
        <v>67</v>
      </c>
      <c r="BC29" s="2">
        <f>BC28/AX19</f>
        <v>16.797781142932365</v>
      </c>
    </row>
    <row r="30" spans="2:148" x14ac:dyDescent="0.3">
      <c r="B30" t="s">
        <v>56</v>
      </c>
      <c r="K30" s="10">
        <f>K13/K6</f>
        <v>0.2581620314389359</v>
      </c>
      <c r="L30" s="10"/>
      <c r="M30" s="10"/>
      <c r="N30" s="10"/>
      <c r="O30" s="10">
        <f t="shared" ref="O30:Z30" si="135">O13/O6</f>
        <v>-0.14920749651504983</v>
      </c>
      <c r="P30" s="10">
        <f t="shared" si="135"/>
        <v>-0.22426385076987496</v>
      </c>
      <c r="Q30" s="10">
        <f t="shared" si="135"/>
        <v>0.1051871975549707</v>
      </c>
      <c r="R30" s="10">
        <f t="shared" si="135"/>
        <v>5.4312354312354295E-2</v>
      </c>
      <c r="S30" s="10">
        <f t="shared" si="135"/>
        <v>0.12055459815133948</v>
      </c>
      <c r="T30" s="10">
        <f t="shared" si="135"/>
        <v>0.15333333333333327</v>
      </c>
      <c r="U30" s="10">
        <f t="shared" si="135"/>
        <v>0.17071931725819564</v>
      </c>
      <c r="V30" s="10">
        <f t="shared" si="135"/>
        <v>0.23886378308586184</v>
      </c>
      <c r="W30" s="10">
        <f t="shared" si="135"/>
        <v>0.16406568055367068</v>
      </c>
      <c r="X30" s="10">
        <f t="shared" si="135"/>
        <v>0.2112064777327935</v>
      </c>
      <c r="Y30" s="10">
        <f t="shared" si="135"/>
        <v>0.20840853924192446</v>
      </c>
      <c r="Z30" s="10">
        <f t="shared" si="135"/>
        <v>0.21044489643910949</v>
      </c>
      <c r="AA30" s="10">
        <f t="shared" ref="AA30:AD30" si="136">AA13/AA6</f>
        <v>0.1897508502962203</v>
      </c>
      <c r="AB30" s="10">
        <f t="shared" si="136"/>
        <v>0.21687202049632198</v>
      </c>
      <c r="AC30" s="10">
        <f t="shared" si="136"/>
        <v>0.22810590759909111</v>
      </c>
      <c r="AD30" s="10">
        <f t="shared" si="136"/>
        <v>0.21577976099694476</v>
      </c>
      <c r="AH30" s="10">
        <f t="shared" ref="AH30:AL30" si="137">AH13/AH6</f>
        <v>0.45679373979997479</v>
      </c>
      <c r="AI30" s="10">
        <f t="shared" si="137"/>
        <v>0.35689346041332443</v>
      </c>
      <c r="AJ30" s="10">
        <f t="shared" si="137"/>
        <v>-0.31355839615426634</v>
      </c>
      <c r="AK30" s="10">
        <f t="shared" si="137"/>
        <v>-4.2533605430105044E-2</v>
      </c>
      <c r="AL30" s="10">
        <f t="shared" si="137"/>
        <v>0.17380323829637462</v>
      </c>
      <c r="AM30" s="10">
        <f t="shared" ref="AM30:AX30" si="138">AM13/AM6</f>
        <v>0.19938457673951274</v>
      </c>
      <c r="AN30" s="10">
        <f t="shared" si="138"/>
        <v>0.21302035465677557</v>
      </c>
      <c r="AO30" s="10">
        <f t="shared" si="138"/>
        <v>0.23721818391054819</v>
      </c>
      <c r="AP30" s="10">
        <f t="shared" si="138"/>
        <v>0.24398525387517547</v>
      </c>
      <c r="AQ30" s="10">
        <f t="shared" si="138"/>
        <v>0.24760355650851559</v>
      </c>
      <c r="AR30" s="10">
        <f t="shared" si="138"/>
        <v>0.24800148229664618</v>
      </c>
      <c r="AS30" s="10">
        <f t="shared" si="138"/>
        <v>0.24929197285902049</v>
      </c>
      <c r="AT30" s="10">
        <f t="shared" si="138"/>
        <v>0.24860565534914708</v>
      </c>
      <c r="AU30" s="10">
        <f t="shared" si="138"/>
        <v>0.24619908203438773</v>
      </c>
      <c r="AV30" s="10">
        <f t="shared" si="138"/>
        <v>0.24377031452052328</v>
      </c>
      <c r="AW30" s="10">
        <f t="shared" si="138"/>
        <v>0.24131916540477974</v>
      </c>
      <c r="AX30" s="10">
        <f t="shared" si="138"/>
        <v>0.23884544606934086</v>
      </c>
      <c r="BB30" t="s">
        <v>68</v>
      </c>
      <c r="BC30" s="2">
        <f>Main!D3</f>
        <v>13.77</v>
      </c>
    </row>
    <row r="31" spans="2:148" x14ac:dyDescent="0.3">
      <c r="B31" t="s">
        <v>50</v>
      </c>
      <c r="K31" s="10">
        <f>K16/K15</f>
        <v>0.24630776560266796</v>
      </c>
      <c r="L31" s="10"/>
      <c r="M31" s="10"/>
      <c r="N31" s="10"/>
      <c r="O31" s="10">
        <f t="shared" ref="O31:Z31" si="139">O16/O15</f>
        <v>-8.0082844321712116E-2</v>
      </c>
      <c r="P31" s="10">
        <f t="shared" si="139"/>
        <v>-1.2205213074058748E-2</v>
      </c>
      <c r="Q31" s="10">
        <f t="shared" si="139"/>
        <v>0.20032441200324413</v>
      </c>
      <c r="R31" s="10">
        <f t="shared" si="139"/>
        <v>0.43440860215053784</v>
      </c>
      <c r="S31" s="10">
        <f t="shared" si="139"/>
        <v>0.26466753585397657</v>
      </c>
      <c r="T31" s="10">
        <f t="shared" si="139"/>
        <v>0.27249053030303039</v>
      </c>
      <c r="U31" s="10">
        <f t="shared" si="139"/>
        <v>0.18311817279046669</v>
      </c>
      <c r="V31" s="10">
        <f t="shared" si="139"/>
        <v>0.11106596234592984</v>
      </c>
      <c r="W31" s="10">
        <f t="shared" si="139"/>
        <v>0.22835296548873749</v>
      </c>
      <c r="X31" s="10">
        <f t="shared" si="139"/>
        <v>0.23538437931563605</v>
      </c>
      <c r="Y31" s="10">
        <f t="shared" si="139"/>
        <v>0.18967318310699896</v>
      </c>
      <c r="Z31" s="10">
        <f t="shared" si="139"/>
        <v>-3.4923670881592456E-2</v>
      </c>
      <c r="AA31" s="10">
        <f t="shared" ref="AA31:AD31" si="140">AA16/AA15</f>
        <v>0.2</v>
      </c>
      <c r="AB31" s="10">
        <f t="shared" si="140"/>
        <v>0.2</v>
      </c>
      <c r="AC31" s="10">
        <f t="shared" si="140"/>
        <v>0.20000000000000004</v>
      </c>
      <c r="AD31" s="10">
        <f t="shared" si="140"/>
        <v>0.20000000000000004</v>
      </c>
      <c r="AH31" s="10">
        <f t="shared" ref="AH31:AL31" si="141">AH16/AH15</f>
        <v>0.26255958929226259</v>
      </c>
      <c r="AI31" s="10">
        <f t="shared" si="141"/>
        <v>0.25733794448878256</v>
      </c>
      <c r="AJ31" s="10">
        <f t="shared" si="141"/>
        <v>4.7184170471841716E-2</v>
      </c>
      <c r="AK31" s="10">
        <f t="shared" si="141"/>
        <v>-0.35943152454780447</v>
      </c>
      <c r="AL31" s="10">
        <f t="shared" si="141"/>
        <v>0.18797564687975635</v>
      </c>
      <c r="AM31" s="10">
        <f t="shared" ref="AM31:AX31" si="142">AM16/AM15</f>
        <v>-0.48113207547169862</v>
      </c>
      <c r="AN31" s="10">
        <f t="shared" si="142"/>
        <v>0.19999999999999993</v>
      </c>
      <c r="AO31" s="10">
        <f t="shared" si="142"/>
        <v>0.2</v>
      </c>
      <c r="AP31" s="10">
        <f t="shared" si="142"/>
        <v>0.2</v>
      </c>
      <c r="AQ31" s="10">
        <f t="shared" si="142"/>
        <v>0.2</v>
      </c>
      <c r="AR31" s="10">
        <f t="shared" si="142"/>
        <v>0.2</v>
      </c>
      <c r="AS31" s="10">
        <f t="shared" si="142"/>
        <v>0.2</v>
      </c>
      <c r="AT31" s="10">
        <f t="shared" si="142"/>
        <v>0.2</v>
      </c>
      <c r="AU31" s="10">
        <f t="shared" si="142"/>
        <v>0.2</v>
      </c>
      <c r="AV31" s="10">
        <f t="shared" si="142"/>
        <v>0.2</v>
      </c>
      <c r="AW31" s="10">
        <f t="shared" si="142"/>
        <v>0.2</v>
      </c>
      <c r="AX31" s="10">
        <f t="shared" si="142"/>
        <v>0.2</v>
      </c>
      <c r="BB31" s="7" t="s">
        <v>69</v>
      </c>
      <c r="BC31" s="11">
        <f>BC29/BC30-1</f>
        <v>0.21988243594280066</v>
      </c>
    </row>
    <row r="32" spans="2:148" x14ac:dyDescent="0.3">
      <c r="B32" t="s">
        <v>72</v>
      </c>
      <c r="K32" s="10">
        <f>K18/K6</f>
        <v>0.19129383313180168</v>
      </c>
      <c r="L32" s="10"/>
      <c r="M32" s="10"/>
      <c r="N32" s="10"/>
      <c r="O32" s="10">
        <f t="shared" ref="O32:Z32" si="143">O18/O6</f>
        <v>-0.16165005937322524</v>
      </c>
      <c r="P32" s="10">
        <f t="shared" si="143"/>
        <v>-0.22672931106666055</v>
      </c>
      <c r="Q32" s="10">
        <f t="shared" si="143"/>
        <v>8.5958060955938539E-2</v>
      </c>
      <c r="R32" s="10">
        <f t="shared" si="143"/>
        <v>3.0652680652680633E-2</v>
      </c>
      <c r="S32" s="10">
        <f t="shared" si="143"/>
        <v>8.8398872003759982E-2</v>
      </c>
      <c r="T32" s="10">
        <f t="shared" si="143"/>
        <v>0.11068840579710139</v>
      </c>
      <c r="U32" s="10">
        <f t="shared" si="143"/>
        <v>0.13841099972907073</v>
      </c>
      <c r="V32" s="10">
        <f t="shared" si="143"/>
        <v>0.21184635248547448</v>
      </c>
      <c r="W32" s="10">
        <f t="shared" si="143"/>
        <v>0.12647577690324321</v>
      </c>
      <c r="X32" s="10">
        <f t="shared" si="143"/>
        <v>0.16068016194331983</v>
      </c>
      <c r="Y32" s="10">
        <f t="shared" si="143"/>
        <v>0.16798406672060745</v>
      </c>
      <c r="Z32" s="10">
        <f t="shared" si="143"/>
        <v>-0.8370527401380814</v>
      </c>
      <c r="AA32" s="10">
        <f t="shared" ref="AA32:AD32" si="144">AA18/AA6</f>
        <v>0.15180068023697624</v>
      </c>
      <c r="AB32" s="10">
        <f t="shared" si="144"/>
        <v>0.1734976163970576</v>
      </c>
      <c r="AC32" s="10">
        <f t="shared" si="144"/>
        <v>0.18248472607927288</v>
      </c>
      <c r="AD32" s="10">
        <f t="shared" si="144"/>
        <v>0.17262380879755582</v>
      </c>
      <c r="AH32" s="10">
        <f t="shared" ref="AH32:AX32" si="145">AH18/AH6</f>
        <v>0.33619282755157542</v>
      </c>
      <c r="AI32" s="10">
        <f t="shared" si="145"/>
        <v>0.26866094177597422</v>
      </c>
      <c r="AJ32" s="10">
        <f t="shared" si="145"/>
        <v>-0.29688626679777125</v>
      </c>
      <c r="AK32" s="10">
        <f t="shared" si="145"/>
        <v>-5.7572867219732836E-2</v>
      </c>
      <c r="AL32" s="10">
        <f t="shared" si="145"/>
        <v>0.14046110524463229</v>
      </c>
      <c r="AM32" s="10">
        <f t="shared" si="145"/>
        <v>-0.11878296910324029</v>
      </c>
      <c r="AN32" s="10">
        <f t="shared" si="145"/>
        <v>0.17041628372542048</v>
      </c>
      <c r="AO32" s="10">
        <f t="shared" si="145"/>
        <v>0.18930011076061745</v>
      </c>
      <c r="AP32" s="10">
        <f t="shared" si="145"/>
        <v>0.19470023259239003</v>
      </c>
      <c r="AQ32" s="10">
        <f t="shared" si="145"/>
        <v>0.19758763809379548</v>
      </c>
      <c r="AR32" s="10">
        <f t="shared" si="145"/>
        <v>0.19790518287272363</v>
      </c>
      <c r="AS32" s="10">
        <f t="shared" si="145"/>
        <v>0.19893499434149836</v>
      </c>
      <c r="AT32" s="10">
        <f t="shared" si="145"/>
        <v>0.19838731296861939</v>
      </c>
      <c r="AU32" s="10">
        <f t="shared" si="145"/>
        <v>0.19646686746344141</v>
      </c>
      <c r="AV32" s="10">
        <f t="shared" si="145"/>
        <v>0.19452871098737756</v>
      </c>
      <c r="AW32" s="10">
        <f t="shared" si="145"/>
        <v>0.19257269399301424</v>
      </c>
      <c r="AX32" s="10">
        <f t="shared" si="145"/>
        <v>0.190598665963334</v>
      </c>
      <c r="BB32" t="s">
        <v>71</v>
      </c>
      <c r="BC32" s="4" t="s">
        <v>129</v>
      </c>
    </row>
    <row r="34" spans="2:39" s="7" customFormat="1" x14ac:dyDescent="0.3">
      <c r="B34" s="7" t="s">
        <v>65</v>
      </c>
      <c r="R34" s="9">
        <f>R35+R36+R45+R53-R61-R62-R69-R70</f>
        <v>-260.10000000000036</v>
      </c>
      <c r="V34" s="9">
        <f>V35+V36+V45+V53-V61-V62-V69-V70</f>
        <v>267.29999999999927</v>
      </c>
      <c r="W34" s="9">
        <f>W35+W36+W45+W53-W61-W62-W69-W70</f>
        <v>-2701.2999999999997</v>
      </c>
      <c r="X34" s="9">
        <f>X35+X36+X45+X53-X61-X62-X69-X70</f>
        <v>-4305.2000000000007</v>
      </c>
      <c r="Y34" s="9">
        <f>Y35+Y36+Y45+Y53-Y61-Y62-Y69-Y70</f>
        <v>-5536.8999999999987</v>
      </c>
      <c r="Z34" s="9">
        <f>Z35+Z36+Z45+Z53-Z61-Z62-Z69-Z70</f>
        <v>-7041.5</v>
      </c>
      <c r="AK34" s="9">
        <f>AK35+AK36+AK45+AK53-AK61-AK62-AK69-AK70</f>
        <v>-260.10000000000036</v>
      </c>
      <c r="AL34" s="9">
        <f>AL35+AL36+AL45+AL53-AL61-AL62-AL69-AL70</f>
        <v>267.29999999999927</v>
      </c>
      <c r="AM34" s="9">
        <f>AM35+AM36+AM45+AM53-AM61-AM62-AM69-AM70</f>
        <v>-7041.5</v>
      </c>
    </row>
    <row r="35" spans="2:39" x14ac:dyDescent="0.3">
      <c r="B35" t="s">
        <v>73</v>
      </c>
      <c r="R35" s="1">
        <v>1512.6</v>
      </c>
      <c r="V35" s="1">
        <v>2176.4</v>
      </c>
      <c r="W35" s="1">
        <v>4988.3</v>
      </c>
      <c r="X35" s="1">
        <v>4743.2</v>
      </c>
      <c r="Y35" s="1">
        <v>4013.3</v>
      </c>
      <c r="Z35" s="1">
        <v>5227.7</v>
      </c>
      <c r="AK35" s="1">
        <v>1512.6</v>
      </c>
      <c r="AL35" s="1">
        <v>2176.4</v>
      </c>
      <c r="AM35" s="1">
        <v>5227.7</v>
      </c>
    </row>
    <row r="36" spans="2:39" x14ac:dyDescent="0.3">
      <c r="B36" t="s">
        <v>74</v>
      </c>
      <c r="R36" s="1">
        <v>3453.8</v>
      </c>
      <c r="V36" s="1">
        <v>3481.5</v>
      </c>
      <c r="W36" s="1">
        <v>463.7</v>
      </c>
      <c r="X36" s="1">
        <v>106.6</v>
      </c>
      <c r="Y36" s="1">
        <v>373.7</v>
      </c>
      <c r="Z36" s="1">
        <v>517.9</v>
      </c>
      <c r="AK36" s="1">
        <v>3453.8</v>
      </c>
      <c r="AL36" s="1">
        <v>3481.5</v>
      </c>
      <c r="AM36" s="1">
        <v>517.9</v>
      </c>
    </row>
    <row r="37" spans="2:39" x14ac:dyDescent="0.3">
      <c r="B37" t="s">
        <v>75</v>
      </c>
      <c r="R37" s="1">
        <v>3960.9</v>
      </c>
      <c r="V37" s="1">
        <v>6397.9</v>
      </c>
      <c r="W37" s="1">
        <v>6620.3</v>
      </c>
      <c r="X37" s="1">
        <v>6967.8</v>
      </c>
      <c r="Y37" s="1">
        <v>7558.5</v>
      </c>
      <c r="Z37" s="1">
        <v>8805.9</v>
      </c>
      <c r="AK37" s="1">
        <v>3960.9</v>
      </c>
      <c r="AL37" s="1">
        <v>6397.9</v>
      </c>
      <c r="AM37" s="1">
        <v>8805.9</v>
      </c>
    </row>
    <row r="38" spans="2:39" x14ac:dyDescent="0.3">
      <c r="B38" t="s">
        <v>76</v>
      </c>
      <c r="R38" s="1">
        <v>20694.5</v>
      </c>
      <c r="V38" s="1">
        <v>23895.5</v>
      </c>
      <c r="W38" s="1">
        <v>26470.5</v>
      </c>
      <c r="X38" s="1">
        <v>27472</v>
      </c>
      <c r="Y38" s="1">
        <v>26207.9</v>
      </c>
      <c r="Z38" s="1">
        <v>29231.8</v>
      </c>
      <c r="AK38" s="1">
        <v>20694.5</v>
      </c>
      <c r="AL38" s="1">
        <v>23895.5</v>
      </c>
      <c r="AM38" s="1">
        <v>29231.8</v>
      </c>
    </row>
    <row r="39" spans="2:39" x14ac:dyDescent="0.3">
      <c r="B39" t="s">
        <v>79</v>
      </c>
      <c r="R39" s="1">
        <v>484.7</v>
      </c>
      <c r="V39" s="1">
        <v>459.9</v>
      </c>
      <c r="W39" s="1">
        <v>448.9</v>
      </c>
      <c r="X39" s="1">
        <v>438.3</v>
      </c>
      <c r="Y39" s="1">
        <v>381.4</v>
      </c>
      <c r="Z39" s="1">
        <v>390.6</v>
      </c>
      <c r="AK39" s="1">
        <v>484.7</v>
      </c>
      <c r="AL39" s="1">
        <v>459.9</v>
      </c>
      <c r="AM39" s="1">
        <v>390.6</v>
      </c>
    </row>
    <row r="40" spans="2:39" x14ac:dyDescent="0.3">
      <c r="B40" t="s">
        <v>80</v>
      </c>
      <c r="R40" s="1">
        <v>0</v>
      </c>
      <c r="V40" s="1">
        <v>210</v>
      </c>
      <c r="W40" s="1">
        <v>342.4</v>
      </c>
      <c r="X40" s="1">
        <v>474.2</v>
      </c>
      <c r="Y40" s="1">
        <v>653.70000000000005</v>
      </c>
      <c r="Z40" s="1">
        <v>891.7</v>
      </c>
      <c r="AK40" s="1">
        <v>0</v>
      </c>
      <c r="AL40" s="1">
        <v>210</v>
      </c>
      <c r="AM40" s="1">
        <v>891.7</v>
      </c>
    </row>
    <row r="41" spans="2:39" x14ac:dyDescent="0.3">
      <c r="B41" t="s">
        <v>50</v>
      </c>
      <c r="R41" s="1">
        <v>151</v>
      </c>
      <c r="V41" s="1">
        <v>146.30000000000001</v>
      </c>
      <c r="W41" s="1">
        <v>216.1</v>
      </c>
      <c r="X41" s="1">
        <v>182.7</v>
      </c>
      <c r="Y41" s="1">
        <v>376</v>
      </c>
      <c r="Z41" s="1">
        <v>372.4</v>
      </c>
      <c r="AK41" s="1">
        <v>151</v>
      </c>
      <c r="AL41" s="1">
        <v>146.30000000000001</v>
      </c>
      <c r="AM41" s="1">
        <v>372.4</v>
      </c>
    </row>
    <row r="42" spans="2:39" x14ac:dyDescent="0.3">
      <c r="B42" t="s">
        <v>83</v>
      </c>
      <c r="R42" s="1">
        <v>36.4</v>
      </c>
      <c r="V42" s="1">
        <v>4.2</v>
      </c>
      <c r="W42" s="1">
        <v>3.3</v>
      </c>
      <c r="X42" s="1">
        <v>71.3</v>
      </c>
      <c r="Y42" s="1">
        <v>51.8</v>
      </c>
      <c r="Z42" s="1">
        <v>156.80000000000001</v>
      </c>
      <c r="AK42" s="1">
        <v>36.4</v>
      </c>
      <c r="AL42" s="1">
        <v>4.2</v>
      </c>
      <c r="AM42" s="1">
        <v>156.80000000000001</v>
      </c>
    </row>
    <row r="43" spans="2:39" x14ac:dyDescent="0.3">
      <c r="B43" t="s">
        <v>84</v>
      </c>
      <c r="R43" s="1">
        <v>363.4</v>
      </c>
      <c r="V43" s="1">
        <v>380.9</v>
      </c>
      <c r="W43" s="1">
        <v>384.2</v>
      </c>
      <c r="X43" s="1">
        <v>390.5</v>
      </c>
      <c r="Y43" s="1">
        <v>373.9</v>
      </c>
      <c r="Z43" s="1">
        <v>370.3</v>
      </c>
      <c r="AK43" s="1">
        <v>363.4</v>
      </c>
      <c r="AL43" s="1">
        <v>380.9</v>
      </c>
      <c r="AM43" s="1">
        <v>370.3</v>
      </c>
    </row>
    <row r="44" spans="2:39" s="7" customFormat="1" x14ac:dyDescent="0.3">
      <c r="B44" s="7" t="s">
        <v>101</v>
      </c>
      <c r="R44" s="9">
        <f>SUM(R35:R43)</f>
        <v>30657.300000000003</v>
      </c>
      <c r="V44" s="9">
        <f>SUM(V35:V43)</f>
        <v>37152.600000000006</v>
      </c>
      <c r="W44" s="9">
        <f>SUM(W35:W43)</f>
        <v>39937.700000000004</v>
      </c>
      <c r="X44" s="9">
        <f>SUM(X35:X43)</f>
        <v>40846.6</v>
      </c>
      <c r="Y44" s="9">
        <f>SUM(Y35:Y43)</f>
        <v>39990.200000000004</v>
      </c>
      <c r="Z44" s="9">
        <f>SUM(Z35:Z43)</f>
        <v>45965.100000000006</v>
      </c>
      <c r="AK44" s="9">
        <f>SUM(AK35:AK43)</f>
        <v>30657.300000000003</v>
      </c>
      <c r="AL44" s="9">
        <f>SUM(AL35:AL43)</f>
        <v>37152.600000000006</v>
      </c>
      <c r="AM44" s="9">
        <f>SUM(AM35:AM43)</f>
        <v>45965.100000000006</v>
      </c>
    </row>
    <row r="45" spans="2:39" x14ac:dyDescent="0.3">
      <c r="B45" t="s">
        <v>74</v>
      </c>
      <c r="R45" s="1">
        <v>214.8</v>
      </c>
      <c r="V45" s="1">
        <v>45.7</v>
      </c>
      <c r="W45" s="1">
        <v>46.3</v>
      </c>
      <c r="X45" s="1">
        <v>32.4</v>
      </c>
      <c r="Y45" s="1">
        <v>32.6</v>
      </c>
      <c r="Z45" s="1">
        <v>33</v>
      </c>
      <c r="AK45" s="1">
        <v>214.8</v>
      </c>
      <c r="AL45" s="1">
        <v>45.7</v>
      </c>
      <c r="AM45" s="1">
        <v>33</v>
      </c>
    </row>
    <row r="46" spans="2:39" x14ac:dyDescent="0.3">
      <c r="B46" t="s">
        <v>76</v>
      </c>
      <c r="R46" s="1">
        <v>54.3</v>
      </c>
      <c r="V46" s="1">
        <v>81.599999999999994</v>
      </c>
      <c r="W46" s="1">
        <v>81.7</v>
      </c>
      <c r="X46" s="1">
        <v>84.3</v>
      </c>
      <c r="Y46" s="1">
        <v>102.3</v>
      </c>
      <c r="Z46" s="1">
        <v>116.2</v>
      </c>
      <c r="AK46" s="1">
        <v>54.3</v>
      </c>
      <c r="AL46" s="1">
        <v>81.599999999999994</v>
      </c>
      <c r="AM46" s="1">
        <v>116.2</v>
      </c>
    </row>
    <row r="47" spans="2:39" x14ac:dyDescent="0.3">
      <c r="B47" t="s">
        <v>79</v>
      </c>
      <c r="R47" s="1">
        <v>37.299999999999997</v>
      </c>
      <c r="V47" s="1">
        <v>28.5</v>
      </c>
      <c r="W47" s="1">
        <v>25.5</v>
      </c>
      <c r="X47" s="1">
        <v>22</v>
      </c>
      <c r="Y47" s="1">
        <v>26</v>
      </c>
      <c r="Z47" s="1">
        <v>25.5</v>
      </c>
      <c r="AK47" s="1">
        <v>37.299999999999997</v>
      </c>
      <c r="AL47" s="1">
        <v>28.5</v>
      </c>
      <c r="AM47" s="1">
        <v>25.5</v>
      </c>
    </row>
    <row r="48" spans="2:39" x14ac:dyDescent="0.3">
      <c r="B48" t="s">
        <v>80</v>
      </c>
      <c r="R48" s="1">
        <v>0</v>
      </c>
      <c r="V48" s="1">
        <v>40.799999999999997</v>
      </c>
      <c r="W48" s="1">
        <v>90.3</v>
      </c>
      <c r="X48" s="1">
        <v>112.6</v>
      </c>
      <c r="Y48" s="1">
        <v>144.1</v>
      </c>
      <c r="Z48" s="1">
        <v>171.4</v>
      </c>
      <c r="AK48" s="1">
        <v>0</v>
      </c>
      <c r="AL48" s="1">
        <v>40.799999999999997</v>
      </c>
      <c r="AM48" s="1">
        <v>171.4</v>
      </c>
    </row>
    <row r="49" spans="2:39" x14ac:dyDescent="0.3">
      <c r="B49" t="s">
        <v>83</v>
      </c>
      <c r="R49" s="1"/>
      <c r="V49" s="1">
        <v>0</v>
      </c>
      <c r="W49" s="1"/>
      <c r="X49" s="1">
        <v>0</v>
      </c>
      <c r="Y49" s="1">
        <v>0.3</v>
      </c>
      <c r="Z49" s="1">
        <v>0.6</v>
      </c>
      <c r="AK49" s="1"/>
      <c r="AL49" s="1">
        <v>0</v>
      </c>
      <c r="AM49" s="1">
        <v>0.6</v>
      </c>
    </row>
    <row r="50" spans="2:39" x14ac:dyDescent="0.3">
      <c r="B50" t="s">
        <v>85</v>
      </c>
      <c r="R50" s="1">
        <v>10.1</v>
      </c>
      <c r="V50" s="1">
        <v>2.5</v>
      </c>
      <c r="W50" s="1">
        <v>2.2000000000000002</v>
      </c>
      <c r="X50" s="1">
        <v>0.7</v>
      </c>
      <c r="Y50" s="1">
        <v>0.6</v>
      </c>
      <c r="Z50" s="1">
        <v>871.6</v>
      </c>
      <c r="AK50" s="1">
        <v>10.1</v>
      </c>
      <c r="AL50" s="1">
        <v>2.5</v>
      </c>
      <c r="AM50" s="1">
        <v>871.6</v>
      </c>
    </row>
    <row r="51" spans="2:39" x14ac:dyDescent="0.3">
      <c r="B51" t="s">
        <v>81</v>
      </c>
      <c r="R51" s="1">
        <v>680</v>
      </c>
      <c r="V51" s="1">
        <v>664.5</v>
      </c>
      <c r="W51" s="1">
        <v>681.3</v>
      </c>
      <c r="X51" s="1">
        <v>755.6</v>
      </c>
      <c r="Y51" s="1">
        <v>692.8</v>
      </c>
      <c r="Z51" s="1">
        <v>103.4</v>
      </c>
      <c r="AK51" s="1">
        <v>680</v>
      </c>
      <c r="AL51" s="1">
        <v>664.5</v>
      </c>
      <c r="AM51" s="1">
        <v>103.4</v>
      </c>
    </row>
    <row r="52" spans="2:39" x14ac:dyDescent="0.3">
      <c r="B52" t="s">
        <v>86</v>
      </c>
      <c r="R52" s="1">
        <v>206.5</v>
      </c>
      <c r="V52" s="1">
        <v>137.5</v>
      </c>
      <c r="W52" s="1">
        <v>171.4</v>
      </c>
      <c r="X52" s="1">
        <v>133.30000000000001</v>
      </c>
      <c r="Y52" s="1">
        <v>145</v>
      </c>
      <c r="Z52" s="1">
        <v>159.19999999999999</v>
      </c>
      <c r="AK52" s="1">
        <v>206.5</v>
      </c>
      <c r="AL52" s="1">
        <v>137.5</v>
      </c>
      <c r="AM52" s="1">
        <v>159.19999999999999</v>
      </c>
    </row>
    <row r="53" spans="2:39" x14ac:dyDescent="0.3">
      <c r="B53" t="s">
        <v>87</v>
      </c>
      <c r="R53" s="1">
        <v>109.8</v>
      </c>
      <c r="V53" s="1">
        <v>83</v>
      </c>
      <c r="W53" s="1">
        <v>86.4</v>
      </c>
      <c r="X53" s="1">
        <v>79.2</v>
      </c>
      <c r="Y53" s="1">
        <v>79.099999999999994</v>
      </c>
      <c r="Z53" s="1">
        <v>75.8</v>
      </c>
      <c r="AK53" s="1">
        <v>109.8</v>
      </c>
      <c r="AL53" s="1">
        <v>83</v>
      </c>
      <c r="AM53" s="1">
        <v>75.8</v>
      </c>
    </row>
    <row r="54" spans="2:39" x14ac:dyDescent="0.3">
      <c r="B54" t="s">
        <v>88</v>
      </c>
      <c r="R54" s="1">
        <v>1641.2</v>
      </c>
      <c r="V54" s="1">
        <v>1661.9</v>
      </c>
      <c r="W54" s="1">
        <v>1698.4</v>
      </c>
      <c r="X54" s="1">
        <v>1728.2</v>
      </c>
      <c r="Y54" s="1">
        <v>1760.4</v>
      </c>
      <c r="Z54" s="1">
        <v>1834</v>
      </c>
      <c r="AK54" s="1">
        <v>1641.2</v>
      </c>
      <c r="AL54" s="1">
        <v>1661.9</v>
      </c>
      <c r="AM54" s="1">
        <v>1834</v>
      </c>
    </row>
    <row r="55" spans="2:39" x14ac:dyDescent="0.3">
      <c r="B55" t="s">
        <v>89</v>
      </c>
      <c r="R55" s="1">
        <v>8632.2999999999993</v>
      </c>
      <c r="V55" s="1">
        <v>8794.9</v>
      </c>
      <c r="W55" s="1">
        <v>8791.2000000000007</v>
      </c>
      <c r="X55" s="1">
        <v>8905</v>
      </c>
      <c r="Y55" s="1">
        <v>8952.1</v>
      </c>
      <c r="Z55" s="1">
        <v>5458.1</v>
      </c>
      <c r="AK55" s="1">
        <v>8632.2999999999993</v>
      </c>
      <c r="AL55" s="1">
        <v>8794.9</v>
      </c>
      <c r="AM55" s="1">
        <v>5458.1</v>
      </c>
    </row>
    <row r="56" spans="2:39" s="7" customFormat="1" x14ac:dyDescent="0.3">
      <c r="B56" s="7" t="s">
        <v>102</v>
      </c>
      <c r="R56" s="9">
        <f>SUM(R45:R55)</f>
        <v>11586.3</v>
      </c>
      <c r="V56" s="9">
        <f>SUM(V45:V55)</f>
        <v>11540.9</v>
      </c>
      <c r="W56" s="9">
        <f>SUM(W45:W55)</f>
        <v>11674.7</v>
      </c>
      <c r="X56" s="9">
        <f>SUM(X45:X55)</f>
        <v>11853.3</v>
      </c>
      <c r="Y56" s="9">
        <f>SUM(Y45:Y55)</f>
        <v>11935.3</v>
      </c>
      <c r="Z56" s="9">
        <f>SUM(Z45:Z55)</f>
        <v>8848.8000000000011</v>
      </c>
      <c r="AK56" s="9">
        <f>SUM(AK45:AK55)</f>
        <v>11586.3</v>
      </c>
      <c r="AL56" s="9">
        <f>SUM(AL45:AL55)</f>
        <v>11540.9</v>
      </c>
      <c r="AM56" s="9">
        <f>SUM(AM45:AM55)</f>
        <v>8848.8000000000011</v>
      </c>
    </row>
    <row r="57" spans="2:39" s="7" customFormat="1" x14ac:dyDescent="0.3">
      <c r="B57" s="7" t="s">
        <v>105</v>
      </c>
      <c r="R57" s="13">
        <f>R44+R56</f>
        <v>42243.600000000006</v>
      </c>
      <c r="V57" s="13">
        <f>V44+V56</f>
        <v>48693.500000000007</v>
      </c>
      <c r="W57" s="13">
        <f>W44+W56</f>
        <v>51612.400000000009</v>
      </c>
      <c r="X57" s="13">
        <f>X44+X56</f>
        <v>52699.899999999994</v>
      </c>
      <c r="Y57" s="13">
        <f>Y44+Y56</f>
        <v>51925.5</v>
      </c>
      <c r="Z57" s="13">
        <f>Z44+Z56</f>
        <v>54813.900000000009</v>
      </c>
      <c r="AK57" s="13">
        <f>AK44+AK56</f>
        <v>42243.600000000006</v>
      </c>
      <c r="AL57" s="13">
        <f>AL44+AL56</f>
        <v>48693.500000000007</v>
      </c>
      <c r="AM57" s="13">
        <f>AM44+AM56</f>
        <v>54813.900000000009</v>
      </c>
    </row>
    <row r="58" spans="2:39" x14ac:dyDescent="0.3">
      <c r="B58" t="s">
        <v>90</v>
      </c>
      <c r="R58" s="1">
        <v>4023.7</v>
      </c>
      <c r="V58" s="1">
        <v>6119.5</v>
      </c>
      <c r="W58" s="1">
        <v>5985</v>
      </c>
      <c r="X58" s="1">
        <v>6472</v>
      </c>
      <c r="Y58" s="1">
        <v>6816.8</v>
      </c>
      <c r="Z58" s="1">
        <v>8704.7999999999993</v>
      </c>
      <c r="AK58" s="1">
        <v>4023.7</v>
      </c>
      <c r="AL58" s="1">
        <v>6119.5</v>
      </c>
      <c r="AM58" s="1">
        <v>8704.7999999999993</v>
      </c>
    </row>
    <row r="59" spans="2:39" x14ac:dyDescent="0.3">
      <c r="B59" t="s">
        <v>91</v>
      </c>
      <c r="R59" s="1">
        <v>16578.7</v>
      </c>
      <c r="V59" s="1">
        <v>19163.7</v>
      </c>
      <c r="W59" s="1">
        <v>19009</v>
      </c>
      <c r="X59" s="1">
        <v>18472.900000000001</v>
      </c>
      <c r="Y59" s="1">
        <v>16550.099999999999</v>
      </c>
      <c r="Z59" s="1">
        <v>17756.7</v>
      </c>
      <c r="AK59" s="1">
        <v>16578.7</v>
      </c>
      <c r="AL59" s="1">
        <v>19163.7</v>
      </c>
      <c r="AM59" s="1">
        <v>17756.7</v>
      </c>
    </row>
    <row r="60" spans="2:39" x14ac:dyDescent="0.3">
      <c r="B60" t="s">
        <v>92</v>
      </c>
      <c r="R60" s="1">
        <v>596</v>
      </c>
      <c r="V60" s="1">
        <v>513.9</v>
      </c>
      <c r="W60" s="1">
        <v>510.4</v>
      </c>
      <c r="X60" s="1">
        <v>525.70000000000005</v>
      </c>
      <c r="Y60" s="1">
        <v>564.29999999999995</v>
      </c>
      <c r="Z60" s="1">
        <v>672.2</v>
      </c>
      <c r="AK60" s="1">
        <v>596</v>
      </c>
      <c r="AL60" s="1">
        <v>513.9</v>
      </c>
      <c r="AM60" s="1">
        <v>672.2</v>
      </c>
    </row>
    <row r="61" spans="2:39" x14ac:dyDescent="0.3">
      <c r="B61" t="s">
        <v>93</v>
      </c>
      <c r="R61" s="1">
        <v>1847.4</v>
      </c>
      <c r="V61" s="1">
        <v>475.3</v>
      </c>
      <c r="W61" s="1">
        <v>1663.5</v>
      </c>
      <c r="X61" s="1">
        <v>1443.9</v>
      </c>
      <c r="Y61" s="1">
        <v>1763.5</v>
      </c>
      <c r="Z61" s="1">
        <v>3066</v>
      </c>
      <c r="AK61" s="1">
        <v>1847.4</v>
      </c>
      <c r="AL61" s="1">
        <v>475.3</v>
      </c>
      <c r="AM61" s="1">
        <v>3066</v>
      </c>
    </row>
    <row r="62" spans="2:39" x14ac:dyDescent="0.3">
      <c r="B62" t="s">
        <v>94</v>
      </c>
      <c r="R62" s="1">
        <v>975.2</v>
      </c>
      <c r="V62" s="1">
        <v>1404.7</v>
      </c>
      <c r="W62" s="1">
        <v>567.70000000000005</v>
      </c>
      <c r="X62" s="1">
        <v>1594</v>
      </c>
      <c r="Y62" s="1">
        <v>1053.5</v>
      </c>
      <c r="Z62" s="1">
        <v>1903.8</v>
      </c>
      <c r="AK62" s="1">
        <v>975.2</v>
      </c>
      <c r="AL62" s="1">
        <v>1404.7</v>
      </c>
      <c r="AM62" s="1">
        <v>1903.8</v>
      </c>
    </row>
    <row r="63" spans="2:39" x14ac:dyDescent="0.3">
      <c r="B63" t="s">
        <v>95</v>
      </c>
      <c r="R63" s="1">
        <v>468.6</v>
      </c>
      <c r="V63" s="1">
        <v>515.70000000000005</v>
      </c>
      <c r="W63" s="1">
        <v>397</v>
      </c>
      <c r="X63" s="1">
        <v>504</v>
      </c>
      <c r="Y63" s="1">
        <v>603.20000000000005</v>
      </c>
      <c r="Z63" s="1">
        <v>578.29999999999995</v>
      </c>
      <c r="AK63" s="1">
        <v>468.6</v>
      </c>
      <c r="AL63" s="1">
        <v>515.70000000000005</v>
      </c>
      <c r="AM63" s="1">
        <v>578.29999999999995</v>
      </c>
    </row>
    <row r="64" spans="2:39" x14ac:dyDescent="0.3">
      <c r="B64" t="s">
        <v>50</v>
      </c>
      <c r="R64" s="1">
        <v>329.1</v>
      </c>
      <c r="V64" s="1">
        <v>514.29999999999995</v>
      </c>
      <c r="W64" s="1">
        <v>612</v>
      </c>
      <c r="X64" s="1">
        <v>676.3</v>
      </c>
      <c r="Y64" s="1">
        <v>431.5</v>
      </c>
      <c r="Z64" s="1">
        <v>560.29999999999995</v>
      </c>
      <c r="AK64" s="1">
        <v>329.1</v>
      </c>
      <c r="AL64" s="1">
        <v>514.29999999999995</v>
      </c>
      <c r="AM64" s="1">
        <v>560.29999999999995</v>
      </c>
    </row>
    <row r="65" spans="2:50" x14ac:dyDescent="0.3">
      <c r="B65" t="s">
        <v>83</v>
      </c>
      <c r="R65" s="1">
        <v>209.7</v>
      </c>
      <c r="V65" s="1">
        <v>4.5999999999999996</v>
      </c>
      <c r="W65" s="1">
        <v>350.5</v>
      </c>
      <c r="X65" s="1">
        <v>112.2</v>
      </c>
      <c r="Y65" s="1">
        <v>1.5</v>
      </c>
      <c r="Z65" s="1">
        <v>10.6</v>
      </c>
      <c r="AK65" s="1">
        <v>209.7</v>
      </c>
      <c r="AL65" s="1">
        <v>4.5999999999999996</v>
      </c>
      <c r="AM65" s="1">
        <v>10.6</v>
      </c>
    </row>
    <row r="66" spans="2:50" x14ac:dyDescent="0.3">
      <c r="B66" t="s">
        <v>96</v>
      </c>
      <c r="R66" s="1">
        <v>145.6</v>
      </c>
      <c r="V66" s="1">
        <v>119.5</v>
      </c>
      <c r="W66" s="1">
        <v>187.3</v>
      </c>
      <c r="X66" s="1">
        <v>247.2</v>
      </c>
      <c r="Y66" s="1">
        <v>288.39999999999998</v>
      </c>
      <c r="Z66" s="1">
        <v>281.10000000000002</v>
      </c>
      <c r="AK66" s="1">
        <v>145.6</v>
      </c>
      <c r="AL66" s="1">
        <v>119.5</v>
      </c>
      <c r="AM66" s="1">
        <v>281.10000000000002</v>
      </c>
    </row>
    <row r="67" spans="2:50" s="7" customFormat="1" x14ac:dyDescent="0.3">
      <c r="B67" s="7" t="s">
        <v>103</v>
      </c>
      <c r="R67" s="9">
        <f>SUM(R58:R66)</f>
        <v>25174</v>
      </c>
      <c r="V67" s="9">
        <f>SUM(V58:V66)</f>
        <v>28831.200000000001</v>
      </c>
      <c r="W67" s="9">
        <f>SUM(W58:W66)</f>
        <v>29282.400000000001</v>
      </c>
      <c r="X67" s="9">
        <f>SUM(X58:X66)</f>
        <v>30048.200000000004</v>
      </c>
      <c r="Y67" s="9">
        <f>SUM(Y58:Y66)</f>
        <v>28072.799999999999</v>
      </c>
      <c r="Z67" s="9">
        <f>SUM(Z58:Z66)</f>
        <v>33533.799999999996</v>
      </c>
      <c r="AK67" s="9">
        <f>SUM(AK58:AK66)</f>
        <v>25174</v>
      </c>
      <c r="AL67" s="9">
        <f>SUM(AL58:AL66)</f>
        <v>28831.200000000001</v>
      </c>
      <c r="AM67" s="9">
        <f>SUM(AM58:AM66)</f>
        <v>33533.799999999996</v>
      </c>
    </row>
    <row r="68" spans="2:50" x14ac:dyDescent="0.3">
      <c r="B68" t="s">
        <v>91</v>
      </c>
      <c r="R68" s="1">
        <v>35.799999999999997</v>
      </c>
      <c r="V68" s="1">
        <v>35.5</v>
      </c>
      <c r="W68" s="1">
        <v>35.4</v>
      </c>
      <c r="X68" s="1">
        <v>40</v>
      </c>
      <c r="Y68" s="1">
        <v>53.3</v>
      </c>
      <c r="Z68" s="1">
        <v>50.7</v>
      </c>
      <c r="AK68" s="1">
        <v>35.799999999999997</v>
      </c>
      <c r="AL68" s="1">
        <v>35.5</v>
      </c>
      <c r="AM68" s="1">
        <v>50.7</v>
      </c>
    </row>
    <row r="69" spans="2:50" x14ac:dyDescent="0.3">
      <c r="B69" t="s">
        <v>93</v>
      </c>
      <c r="R69" s="1">
        <v>2728.5</v>
      </c>
      <c r="V69" s="1">
        <v>3495.8</v>
      </c>
      <c r="W69" s="1">
        <v>3720.7</v>
      </c>
      <c r="X69" s="1">
        <v>3858</v>
      </c>
      <c r="Y69" s="1">
        <v>4940.8999999999996</v>
      </c>
      <c r="Z69" s="1">
        <v>5430</v>
      </c>
      <c r="AK69" s="1">
        <v>2728.5</v>
      </c>
      <c r="AL69" s="1">
        <v>3495.8</v>
      </c>
      <c r="AM69" s="1">
        <v>5430</v>
      </c>
    </row>
    <row r="70" spans="2:50" x14ac:dyDescent="0.3">
      <c r="B70" t="s">
        <v>94</v>
      </c>
      <c r="R70" s="1"/>
      <c r="V70" s="1">
        <v>143.5</v>
      </c>
      <c r="W70" s="1">
        <v>2334.1</v>
      </c>
      <c r="X70" s="1">
        <v>2370.6999999999998</v>
      </c>
      <c r="Y70" s="1">
        <v>2277.6999999999998</v>
      </c>
      <c r="Z70" s="1">
        <v>2496.1</v>
      </c>
      <c r="AK70" s="1"/>
      <c r="AL70" s="1">
        <v>143.5</v>
      </c>
      <c r="AM70" s="1">
        <v>2496.1</v>
      </c>
    </row>
    <row r="71" spans="2:50" x14ac:dyDescent="0.3">
      <c r="B71" t="s">
        <v>83</v>
      </c>
      <c r="R71" s="1"/>
      <c r="V71" s="1">
        <v>311.60000000000002</v>
      </c>
      <c r="W71" s="1"/>
      <c r="X71" s="1"/>
      <c r="Y71" s="1">
        <v>83.8</v>
      </c>
      <c r="Z71" s="1">
        <v>281.2</v>
      </c>
      <c r="AK71" s="1"/>
      <c r="AL71" s="1">
        <v>311.60000000000002</v>
      </c>
      <c r="AM71" s="1">
        <v>281.2</v>
      </c>
    </row>
    <row r="72" spans="2:50" x14ac:dyDescent="0.3">
      <c r="B72" t="s">
        <v>81</v>
      </c>
      <c r="R72" s="1">
        <v>500.2</v>
      </c>
      <c r="V72" s="1">
        <v>546.5</v>
      </c>
      <c r="W72" s="1">
        <v>559.4</v>
      </c>
      <c r="X72" s="1">
        <v>613.79999999999995</v>
      </c>
      <c r="Y72" s="1">
        <v>600.4</v>
      </c>
      <c r="Z72" s="1">
        <v>680.7</v>
      </c>
      <c r="AK72" s="1">
        <v>500.2</v>
      </c>
      <c r="AL72" s="1">
        <v>546.5</v>
      </c>
      <c r="AM72" s="1">
        <v>680.7</v>
      </c>
    </row>
    <row r="73" spans="2:50" x14ac:dyDescent="0.3">
      <c r="B73" t="s">
        <v>97</v>
      </c>
      <c r="R73" s="1">
        <v>210.4</v>
      </c>
      <c r="V73" s="1">
        <v>208.9</v>
      </c>
      <c r="W73" s="1">
        <v>225.8</v>
      </c>
      <c r="X73" s="1">
        <v>233.2</v>
      </c>
      <c r="Y73" s="1">
        <v>247.6</v>
      </c>
      <c r="Z73" s="1">
        <v>237.4</v>
      </c>
      <c r="AK73" s="1">
        <v>210.4</v>
      </c>
      <c r="AL73" s="1">
        <v>208.9</v>
      </c>
      <c r="AM73" s="1">
        <v>237.4</v>
      </c>
    </row>
    <row r="74" spans="2:50" x14ac:dyDescent="0.3">
      <c r="B74" t="s">
        <v>95</v>
      </c>
      <c r="R74" s="1">
        <v>35.799999999999997</v>
      </c>
      <c r="V74" s="1">
        <v>34.299999999999997</v>
      </c>
      <c r="W74" s="1">
        <v>39</v>
      </c>
      <c r="X74" s="1">
        <v>30.7</v>
      </c>
      <c r="Y74" s="1">
        <v>33.299999999999997</v>
      </c>
      <c r="Z74" s="1">
        <v>39.5</v>
      </c>
      <c r="AK74" s="1">
        <v>35.799999999999997</v>
      </c>
      <c r="AL74" s="1">
        <v>34.299999999999997</v>
      </c>
      <c r="AM74" s="1">
        <v>39.5</v>
      </c>
    </row>
    <row r="75" spans="2:50" x14ac:dyDescent="0.3">
      <c r="B75" t="s">
        <v>98</v>
      </c>
      <c r="R75" s="1">
        <v>610.6</v>
      </c>
      <c r="V75" s="1">
        <v>410.5</v>
      </c>
      <c r="W75" s="1">
        <v>411</v>
      </c>
      <c r="X75" s="1">
        <v>286.3</v>
      </c>
      <c r="Y75" s="1">
        <v>287</v>
      </c>
      <c r="Z75" s="1">
        <v>236.8</v>
      </c>
      <c r="AK75" s="1">
        <v>610.6</v>
      </c>
      <c r="AL75" s="1">
        <v>410.5</v>
      </c>
      <c r="AM75" s="1">
        <v>236.8</v>
      </c>
    </row>
    <row r="76" spans="2:50" s="7" customFormat="1" x14ac:dyDescent="0.3">
      <c r="B76" s="7" t="s">
        <v>104</v>
      </c>
      <c r="R76" s="9">
        <f>SUM(R68:R75)</f>
        <v>4121.3</v>
      </c>
      <c r="V76" s="9">
        <f>SUM(V68:V75)</f>
        <v>5186.5999999999995</v>
      </c>
      <c r="W76" s="9">
        <f>SUM(W68:W75)</f>
        <v>7325.4</v>
      </c>
      <c r="X76" s="9">
        <f>SUM(X68:X75)</f>
        <v>7432.7</v>
      </c>
      <c r="Y76" s="9">
        <f>SUM(Y68:Y75)</f>
        <v>8523.9999999999982</v>
      </c>
      <c r="Z76" s="9">
        <f>SUM(Z68:Z75)</f>
        <v>9452.4</v>
      </c>
      <c r="AK76" s="9">
        <f>SUM(AK68:AK75)</f>
        <v>4121.3</v>
      </c>
      <c r="AL76" s="9">
        <f>SUM(AL68:AL75)</f>
        <v>5186.5999999999995</v>
      </c>
      <c r="AM76" s="9">
        <f>SUM(AM68:AM75)</f>
        <v>9452.4</v>
      </c>
      <c r="AN76" s="9"/>
    </row>
    <row r="77" spans="2:50" s="7" customFormat="1" x14ac:dyDescent="0.3">
      <c r="B77" s="7" t="s">
        <v>99</v>
      </c>
      <c r="R77" s="9">
        <v>14676</v>
      </c>
      <c r="V77" s="9">
        <v>14676</v>
      </c>
      <c r="W77" s="9">
        <v>15004.6</v>
      </c>
      <c r="X77" s="9">
        <v>15218.8</v>
      </c>
      <c r="Y77" s="9">
        <f>15329</f>
        <v>15329</v>
      </c>
      <c r="Z77" s="9">
        <v>11827.3</v>
      </c>
      <c r="AK77" s="16">
        <v>14676</v>
      </c>
      <c r="AL77" s="9">
        <v>14676</v>
      </c>
      <c r="AM77" s="9">
        <v>11827.3</v>
      </c>
    </row>
    <row r="78" spans="2:50" s="7" customFormat="1" x14ac:dyDescent="0.3">
      <c r="B78" s="7" t="s">
        <v>100</v>
      </c>
      <c r="R78" s="13">
        <f>R67+R76+R77</f>
        <v>43971.3</v>
      </c>
      <c r="V78" s="13">
        <f>V67+V76+V77</f>
        <v>48693.8</v>
      </c>
      <c r="W78" s="13">
        <f>W67+W76+W77</f>
        <v>51612.4</v>
      </c>
      <c r="X78" s="13">
        <f>X67+X76+X77</f>
        <v>52699.7</v>
      </c>
      <c r="Y78" s="13">
        <f>Y67+Y76+Y77</f>
        <v>51925.799999999996</v>
      </c>
      <c r="Z78" s="13">
        <f>Z67+Z76+Z77</f>
        <v>54813.5</v>
      </c>
      <c r="AK78" s="13">
        <f>AK67+AK76+AK77</f>
        <v>43971.3</v>
      </c>
      <c r="AL78" s="13">
        <f>AL67+AL76+AL77</f>
        <v>48693.8</v>
      </c>
      <c r="AM78" s="13">
        <f>AM67+AM76+AM77</f>
        <v>54813.5</v>
      </c>
    </row>
    <row r="79" spans="2:50" x14ac:dyDescent="0.3">
      <c r="Y79" s="1"/>
    </row>
    <row r="80" spans="2:50" s="7" customFormat="1" x14ac:dyDescent="0.3">
      <c r="B80" s="7" t="s">
        <v>106</v>
      </c>
      <c r="O80" s="9">
        <f t="shared" ref="O80:R80" si="146">O18</f>
        <v>-313.09999999999997</v>
      </c>
      <c r="P80" s="9">
        <f t="shared" si="146"/>
        <v>-487.40000000000015</v>
      </c>
      <c r="Q80" s="9">
        <f t="shared" si="146"/>
        <v>202.49999999999997</v>
      </c>
      <c r="R80" s="9">
        <f t="shared" si="146"/>
        <v>78.899999999999949</v>
      </c>
      <c r="S80" s="9">
        <f t="shared" ref="S80:T80" si="147">S18</f>
        <v>225.69999999999996</v>
      </c>
      <c r="T80" s="9">
        <f t="shared" si="147"/>
        <v>305.49999999999983</v>
      </c>
      <c r="U80" s="9">
        <f>U18</f>
        <v>408.7000000000001</v>
      </c>
      <c r="V80" s="9">
        <f t="shared" ref="V80:X80" si="148">V18</f>
        <v>656.3</v>
      </c>
      <c r="W80" s="9">
        <f t="shared" si="148"/>
        <v>372.79999999999967</v>
      </c>
      <c r="X80" s="9">
        <f t="shared" si="148"/>
        <v>496.09999999999997</v>
      </c>
      <c r="Y80" s="9">
        <f>Y18</f>
        <v>539.79999999999995</v>
      </c>
      <c r="Z80" s="9">
        <f>Z18</f>
        <v>-2921.9000000000005</v>
      </c>
      <c r="AA80" s="9"/>
      <c r="AB80" s="9"/>
      <c r="AC80" s="9"/>
      <c r="AD80" s="9"/>
      <c r="AI80" s="9">
        <f>AI18</f>
        <v>854.09999999999957</v>
      </c>
      <c r="AJ80" s="9">
        <f>AJ18</f>
        <v>-1358.7</v>
      </c>
      <c r="AK80" s="9">
        <f>AK18</f>
        <v>-519.09999999999911</v>
      </c>
      <c r="AL80" s="9">
        <f>AL18</f>
        <v>1596.2000000000014</v>
      </c>
      <c r="AM80" s="9">
        <f>AM18</f>
        <v>-1513.1999999999989</v>
      </c>
      <c r="AN80" s="9">
        <f t="shared" ref="AN80:AX80" si="149">AN18</f>
        <v>2347.7740160000003</v>
      </c>
      <c r="AO80" s="9">
        <f t="shared" si="149"/>
        <v>2787.1722259499988</v>
      </c>
      <c r="AP80" s="9">
        <f t="shared" si="149"/>
        <v>3030.7280011533003</v>
      </c>
      <c r="AQ80" s="9">
        <f t="shared" si="149"/>
        <v>3213.3589068391652</v>
      </c>
      <c r="AR80" s="9">
        <f t="shared" si="149"/>
        <v>3320.3135913021265</v>
      </c>
      <c r="AS80" s="9">
        <f t="shared" si="149"/>
        <v>3420.7768338451474</v>
      </c>
      <c r="AT80" s="9">
        <f t="shared" si="149"/>
        <v>3468.9709376807759</v>
      </c>
      <c r="AU80" s="9">
        <f t="shared" si="149"/>
        <v>3469.7442174198932</v>
      </c>
      <c r="AV80" s="9">
        <f t="shared" si="149"/>
        <v>3469.8701494701572</v>
      </c>
      <c r="AW80" s="9">
        <f t="shared" si="149"/>
        <v>3469.3298561881525</v>
      </c>
      <c r="AX80" s="9">
        <f t="shared" si="149"/>
        <v>3468.1040439939879</v>
      </c>
    </row>
    <row r="81" spans="2:50" x14ac:dyDescent="0.3">
      <c r="B81" t="s">
        <v>107</v>
      </c>
      <c r="S81" s="1">
        <v>212.5</v>
      </c>
      <c r="T81" s="1">
        <f t="shared" ref="T81:T88" si="150">T121-S81</f>
        <v>221.7</v>
      </c>
      <c r="U81" s="1">
        <f t="shared" ref="U81:U88" si="151">U121-T81-S81</f>
        <v>222.90000000000003</v>
      </c>
      <c r="V81" s="1">
        <f t="shared" ref="V81:V88" si="152">V121-U81-T81-S81</f>
        <v>221.09999999999997</v>
      </c>
      <c r="W81" s="1">
        <v>217.3</v>
      </c>
      <c r="X81" s="1">
        <f t="shared" ref="X81:X88" si="153">X121-W81</f>
        <v>224.3</v>
      </c>
      <c r="Y81" s="1">
        <f t="shared" ref="Y81:Y88" si="154">Y121-X81-W81</f>
        <v>263.79999999999995</v>
      </c>
      <c r="Z81" s="1">
        <v>244</v>
      </c>
      <c r="AI81" s="1">
        <v>256.3</v>
      </c>
      <c r="AJ81" s="1">
        <v>507.4</v>
      </c>
      <c r="AK81" s="1">
        <v>800.3</v>
      </c>
      <c r="AL81" s="1">
        <f>SUM(S81:V81)</f>
        <v>878.2</v>
      </c>
      <c r="AM81" s="1">
        <f>SUM(W81:Z81)</f>
        <v>949.4</v>
      </c>
      <c r="AN81" s="1">
        <f>AM81*0.99</f>
        <v>939.90599999999995</v>
      </c>
      <c r="AO81" s="1">
        <f t="shared" ref="AO81:AX81" si="155">AN81*0.99</f>
        <v>930.50693999999999</v>
      </c>
      <c r="AP81" s="1">
        <f t="shared" si="155"/>
        <v>921.20187060000001</v>
      </c>
      <c r="AQ81" s="1">
        <f t="shared" si="155"/>
        <v>911.98985189400003</v>
      </c>
      <c r="AR81" s="1">
        <f t="shared" si="155"/>
        <v>902.86995337506005</v>
      </c>
      <c r="AS81" s="1">
        <f t="shared" si="155"/>
        <v>893.84125384130948</v>
      </c>
      <c r="AT81" s="1">
        <f t="shared" si="155"/>
        <v>884.90284130289638</v>
      </c>
      <c r="AU81" s="1">
        <f t="shared" si="155"/>
        <v>876.05381288986746</v>
      </c>
      <c r="AV81" s="1">
        <f t="shared" si="155"/>
        <v>867.29327476096876</v>
      </c>
      <c r="AW81" s="1">
        <f t="shared" si="155"/>
        <v>858.62034201335905</v>
      </c>
      <c r="AX81" s="1">
        <f t="shared" si="155"/>
        <v>850.03413859322541</v>
      </c>
    </row>
    <row r="82" spans="2:50" x14ac:dyDescent="0.3">
      <c r="B82" t="s">
        <v>81</v>
      </c>
      <c r="S82" s="1">
        <v>37.6</v>
      </c>
      <c r="T82" s="1">
        <f t="shared" si="150"/>
        <v>40.800000000000004</v>
      </c>
      <c r="U82" s="1">
        <f t="shared" si="151"/>
        <v>-43.000000000000007</v>
      </c>
      <c r="V82" s="1">
        <f t="shared" si="152"/>
        <v>-10.799999999999997</v>
      </c>
      <c r="W82" s="1">
        <v>4.5999999999999996</v>
      </c>
      <c r="X82" s="1">
        <f t="shared" si="153"/>
        <v>2</v>
      </c>
      <c r="Y82" s="1">
        <f t="shared" si="154"/>
        <v>14.4</v>
      </c>
      <c r="Z82" s="1">
        <v>-59.5</v>
      </c>
      <c r="AI82" s="1">
        <v>73.3</v>
      </c>
      <c r="AJ82" s="1">
        <v>-239.8</v>
      </c>
      <c r="AK82" s="1">
        <v>-153.1</v>
      </c>
      <c r="AL82" s="1">
        <f t="shared" ref="AL82:AL109" si="156">SUM(S82:V82)</f>
        <v>24.6</v>
      </c>
      <c r="AM82" s="1">
        <f t="shared" ref="AM82:AM109" si="157">SUM(W82:Z82)</f>
        <v>-38.5</v>
      </c>
      <c r="AN82" s="1">
        <f>AM82*1.02</f>
        <v>-39.270000000000003</v>
      </c>
      <c r="AO82" s="1">
        <f t="shared" ref="AO82:AX82" si="158">AN82*1.02</f>
        <v>-40.055400000000006</v>
      </c>
      <c r="AP82" s="1">
        <f t="shared" si="158"/>
        <v>-40.856508000000005</v>
      </c>
      <c r="AQ82" s="1">
        <f t="shared" si="158"/>
        <v>-41.673638160000003</v>
      </c>
      <c r="AR82" s="1">
        <f t="shared" si="158"/>
        <v>-42.507110923200003</v>
      </c>
      <c r="AS82" s="1">
        <f t="shared" si="158"/>
        <v>-43.357253141664003</v>
      </c>
      <c r="AT82" s="1">
        <f t="shared" si="158"/>
        <v>-44.224398204497284</v>
      </c>
      <c r="AU82" s="1">
        <f t="shared" si="158"/>
        <v>-45.108886168587233</v>
      </c>
      <c r="AV82" s="1">
        <f t="shared" si="158"/>
        <v>-46.011063891958976</v>
      </c>
      <c r="AW82" s="1">
        <f t="shared" si="158"/>
        <v>-46.931285169798159</v>
      </c>
      <c r="AX82" s="1">
        <f t="shared" si="158"/>
        <v>-47.869910873194122</v>
      </c>
    </row>
    <row r="83" spans="2:50" x14ac:dyDescent="0.3">
      <c r="B83" t="s">
        <v>74</v>
      </c>
      <c r="S83" s="1">
        <v>1</v>
      </c>
      <c r="T83" s="1">
        <f t="shared" si="150"/>
        <v>0.8</v>
      </c>
      <c r="U83" s="1">
        <f t="shared" si="151"/>
        <v>0.59999999999999987</v>
      </c>
      <c r="V83" s="1">
        <f t="shared" si="152"/>
        <v>1.8000000000000007</v>
      </c>
      <c r="W83" s="1">
        <v>-0.3</v>
      </c>
      <c r="X83" s="1">
        <f t="shared" si="153"/>
        <v>0.4</v>
      </c>
      <c r="Y83" s="1">
        <f t="shared" si="154"/>
        <v>-0.39999999999999997</v>
      </c>
      <c r="Z83" s="1">
        <v>-0.1</v>
      </c>
      <c r="AI83" s="1">
        <v>6.9</v>
      </c>
      <c r="AJ83" s="1">
        <v>10.4</v>
      </c>
      <c r="AK83" s="1">
        <v>3.6</v>
      </c>
      <c r="AL83" s="1">
        <f t="shared" si="156"/>
        <v>4.2000000000000011</v>
      </c>
      <c r="AM83" s="1">
        <f t="shared" si="157"/>
        <v>-0.39999999999999991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</row>
    <row r="84" spans="2:50" x14ac:dyDescent="0.3">
      <c r="B84" t="s">
        <v>108</v>
      </c>
      <c r="S84" s="1">
        <v>-131.6</v>
      </c>
      <c r="T84" s="1">
        <f t="shared" si="150"/>
        <v>-44.200000000000017</v>
      </c>
      <c r="U84" s="1">
        <f t="shared" si="151"/>
        <v>-31.399999999999977</v>
      </c>
      <c r="V84" s="1">
        <f t="shared" si="152"/>
        <v>11.799999999999983</v>
      </c>
      <c r="W84" s="1">
        <v>11.4</v>
      </c>
      <c r="X84" s="1">
        <f t="shared" si="153"/>
        <v>59.199999999999996</v>
      </c>
      <c r="Y84" s="1">
        <f t="shared" si="154"/>
        <v>26.600000000000009</v>
      </c>
      <c r="Z84" s="1">
        <v>76.900000000000006</v>
      </c>
      <c r="AI84" s="1">
        <v>-283.89999999999998</v>
      </c>
      <c r="AJ84" s="1">
        <v>-735.1</v>
      </c>
      <c r="AK84" s="1">
        <v>-382.7</v>
      </c>
      <c r="AL84" s="1">
        <f t="shared" si="156"/>
        <v>-195.4</v>
      </c>
      <c r="AM84" s="1">
        <f t="shared" si="157"/>
        <v>174.10000000000002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</row>
    <row r="85" spans="2:50" x14ac:dyDescent="0.3">
      <c r="B85" t="s">
        <v>97</v>
      </c>
      <c r="S85" s="1">
        <v>-2.4</v>
      </c>
      <c r="T85" s="1">
        <f t="shared" si="150"/>
        <v>7.5</v>
      </c>
      <c r="U85" s="1">
        <f t="shared" si="151"/>
        <v>21.4</v>
      </c>
      <c r="V85" s="1">
        <f t="shared" si="152"/>
        <v>-20.7</v>
      </c>
      <c r="W85" s="1">
        <v>16.100000000000001</v>
      </c>
      <c r="X85" s="1">
        <f t="shared" si="153"/>
        <v>23.9</v>
      </c>
      <c r="Y85" s="1">
        <f t="shared" si="154"/>
        <v>24.5</v>
      </c>
      <c r="Z85" s="1">
        <v>-3.3</v>
      </c>
      <c r="AI85" s="1">
        <v>2.2999999999999998</v>
      </c>
      <c r="AJ85" s="1">
        <v>4.3</v>
      </c>
      <c r="AK85" s="1">
        <v>18.8</v>
      </c>
      <c r="AL85" s="1">
        <f t="shared" si="156"/>
        <v>5.8000000000000007</v>
      </c>
      <c r="AM85" s="1">
        <f t="shared" si="157"/>
        <v>61.2</v>
      </c>
      <c r="AN85" s="1">
        <f>AM85*1.01</f>
        <v>61.812000000000005</v>
      </c>
      <c r="AO85" s="1">
        <f t="shared" ref="AO85:AX85" si="159">AN85*1.01</f>
        <v>62.430120000000002</v>
      </c>
      <c r="AP85" s="1">
        <f t="shared" si="159"/>
        <v>63.0544212</v>
      </c>
      <c r="AQ85" s="1">
        <f t="shared" si="159"/>
        <v>63.684965412000004</v>
      </c>
      <c r="AR85" s="1">
        <f t="shared" si="159"/>
        <v>64.32181506612001</v>
      </c>
      <c r="AS85" s="1">
        <f t="shared" si="159"/>
        <v>64.965033216781208</v>
      </c>
      <c r="AT85" s="1">
        <f t="shared" si="159"/>
        <v>65.614683548949017</v>
      </c>
      <c r="AU85" s="1">
        <f t="shared" si="159"/>
        <v>66.270830384438511</v>
      </c>
      <c r="AV85" s="1">
        <f t="shared" si="159"/>
        <v>66.933538688282894</v>
      </c>
      <c r="AW85" s="1">
        <f t="shared" si="159"/>
        <v>67.60287407516573</v>
      </c>
      <c r="AX85" s="1">
        <f t="shared" si="159"/>
        <v>68.278902815917391</v>
      </c>
    </row>
    <row r="86" spans="2:50" x14ac:dyDescent="0.3">
      <c r="B86" t="s">
        <v>109</v>
      </c>
      <c r="S86" s="1">
        <v>70.099999999999994</v>
      </c>
      <c r="T86" s="1">
        <f t="shared" si="150"/>
        <v>50.400000000000006</v>
      </c>
      <c r="U86" s="1">
        <f t="shared" si="151"/>
        <v>61.099999999999994</v>
      </c>
      <c r="V86" s="1">
        <f t="shared" si="152"/>
        <v>69.599999999999994</v>
      </c>
      <c r="W86" s="1">
        <v>25.8</v>
      </c>
      <c r="X86" s="1">
        <f t="shared" si="153"/>
        <v>64.400000000000006</v>
      </c>
      <c r="Y86" s="1">
        <f t="shared" si="154"/>
        <v>68.2</v>
      </c>
      <c r="Z86" s="1">
        <v>74.3</v>
      </c>
      <c r="AI86" s="1">
        <v>31.5</v>
      </c>
      <c r="AJ86" s="1">
        <v>133.19999999999999</v>
      </c>
      <c r="AK86" s="1">
        <v>189.1</v>
      </c>
      <c r="AL86" s="1">
        <f t="shared" si="156"/>
        <v>251.2</v>
      </c>
      <c r="AM86" s="1">
        <f t="shared" si="157"/>
        <v>232.7</v>
      </c>
      <c r="AN86" s="1">
        <f>AM86*0.99</f>
        <v>230.37299999999999</v>
      </c>
      <c r="AO86" s="1">
        <f t="shared" ref="AO86:AQ86" si="160">AN86*0.99</f>
        <v>228.06926999999999</v>
      </c>
      <c r="AP86" s="1">
        <f t="shared" si="160"/>
        <v>225.78857729999999</v>
      </c>
      <c r="AQ86" s="1">
        <f t="shared" si="160"/>
        <v>223.53069152699999</v>
      </c>
      <c r="AR86" s="1">
        <f>AQ86*0.95</f>
        <v>212.35415695064998</v>
      </c>
      <c r="AS86" s="1">
        <f t="shared" ref="AS86:AX86" si="161">AR86*0.95</f>
        <v>201.73644910311748</v>
      </c>
      <c r="AT86" s="1">
        <f t="shared" si="161"/>
        <v>191.64962664796158</v>
      </c>
      <c r="AU86" s="1">
        <f t="shared" si="161"/>
        <v>182.06714531556349</v>
      </c>
      <c r="AV86" s="1">
        <f t="shared" si="161"/>
        <v>172.96378804978531</v>
      </c>
      <c r="AW86" s="1">
        <f t="shared" si="161"/>
        <v>164.31559864729604</v>
      </c>
      <c r="AX86" s="1">
        <f t="shared" si="161"/>
        <v>156.09981871493125</v>
      </c>
    </row>
    <row r="87" spans="2:50" x14ac:dyDescent="0.3">
      <c r="B87" t="s">
        <v>110</v>
      </c>
      <c r="S87" s="1">
        <v>10.9</v>
      </c>
      <c r="T87" s="1">
        <f t="shared" si="150"/>
        <v>21.6</v>
      </c>
      <c r="U87" s="1">
        <f t="shared" si="151"/>
        <v>67.099999999999994</v>
      </c>
      <c r="V87" s="1">
        <f t="shared" si="152"/>
        <v>60.6</v>
      </c>
      <c r="W87" s="1">
        <v>54.2</v>
      </c>
      <c r="X87" s="1">
        <f t="shared" si="153"/>
        <v>48.3</v>
      </c>
      <c r="Y87" s="1">
        <f t="shared" si="154"/>
        <v>16.5</v>
      </c>
      <c r="Z87" s="1">
        <v>24.5</v>
      </c>
      <c r="AI87" s="1">
        <v>35.6</v>
      </c>
      <c r="AJ87" s="1">
        <v>72</v>
      </c>
      <c r="AK87" s="1">
        <v>88.6</v>
      </c>
      <c r="AL87" s="1">
        <f t="shared" si="156"/>
        <v>160.19999999999999</v>
      </c>
      <c r="AM87" s="1">
        <f t="shared" si="157"/>
        <v>143.5</v>
      </c>
      <c r="AN87" s="1">
        <f>AM87*1.02</f>
        <v>146.37</v>
      </c>
      <c r="AO87" s="1">
        <f t="shared" ref="AO87:AX87" si="162">AN87*1.02</f>
        <v>149.29740000000001</v>
      </c>
      <c r="AP87" s="1">
        <f t="shared" si="162"/>
        <v>152.28334800000002</v>
      </c>
      <c r="AQ87" s="1">
        <f t="shared" si="162"/>
        <v>155.32901496000002</v>
      </c>
      <c r="AR87" s="1">
        <f t="shared" si="162"/>
        <v>158.43559525920003</v>
      </c>
      <c r="AS87" s="1">
        <f t="shared" si="162"/>
        <v>161.60430716438404</v>
      </c>
      <c r="AT87" s="1">
        <f t="shared" si="162"/>
        <v>164.83639330767173</v>
      </c>
      <c r="AU87" s="1">
        <f t="shared" si="162"/>
        <v>168.13312117382517</v>
      </c>
      <c r="AV87" s="1">
        <f t="shared" si="162"/>
        <v>171.49578359730168</v>
      </c>
      <c r="AW87" s="1">
        <f t="shared" si="162"/>
        <v>174.92569926924773</v>
      </c>
      <c r="AX87" s="1">
        <f t="shared" si="162"/>
        <v>178.42421325463269</v>
      </c>
    </row>
    <row r="88" spans="2:50" x14ac:dyDescent="0.3">
      <c r="B88" t="s">
        <v>88</v>
      </c>
      <c r="S88" s="1">
        <v>14.9</v>
      </c>
      <c r="T88" s="1">
        <f t="shared" si="150"/>
        <v>30.200000000000003</v>
      </c>
      <c r="U88" s="1">
        <f t="shared" si="151"/>
        <v>8.1</v>
      </c>
      <c r="V88" s="1">
        <f t="shared" si="152"/>
        <v>12.999999999999998</v>
      </c>
      <c r="W88" s="1">
        <v>6.1</v>
      </c>
      <c r="X88" s="1">
        <f t="shared" si="153"/>
        <v>8.2000000000000011</v>
      </c>
      <c r="Y88" s="1">
        <f t="shared" si="154"/>
        <v>-8.5</v>
      </c>
      <c r="Z88" s="1">
        <v>23.6</v>
      </c>
      <c r="AI88" s="1">
        <v>52.7</v>
      </c>
      <c r="AJ88" s="1">
        <v>136.1</v>
      </c>
      <c r="AK88" s="1">
        <v>25.3</v>
      </c>
      <c r="AL88" s="1">
        <f t="shared" si="156"/>
        <v>66.2</v>
      </c>
      <c r="AM88" s="1">
        <f t="shared" si="157"/>
        <v>29.400000000000002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</row>
    <row r="89" spans="2:50" x14ac:dyDescent="0.3">
      <c r="B89" t="s">
        <v>128</v>
      </c>
      <c r="S89" s="1"/>
      <c r="T89" s="1"/>
      <c r="U89" s="1"/>
      <c r="V89" s="1"/>
      <c r="W89" s="1"/>
      <c r="X89" s="1"/>
      <c r="Y89" s="1"/>
      <c r="Z89" s="1">
        <v>3558</v>
      </c>
      <c r="AI89" s="1"/>
      <c r="AJ89" s="1"/>
      <c r="AK89" s="1"/>
      <c r="AL89" s="1"/>
      <c r="AM89" s="1">
        <f t="shared" si="157"/>
        <v>3558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</row>
    <row r="90" spans="2:50" x14ac:dyDescent="0.3">
      <c r="B90" t="s">
        <v>111</v>
      </c>
      <c r="S90" s="1">
        <v>1.2</v>
      </c>
      <c r="T90" s="1">
        <f t="shared" ref="T90:T109" si="163">T129-S90</f>
        <v>0</v>
      </c>
      <c r="U90" s="1">
        <f t="shared" ref="U90:U109" si="164">U129-T90-S90</f>
        <v>1.2</v>
      </c>
      <c r="V90" s="1">
        <f t="shared" ref="V90:V109" si="165">V129-U90-T90-S90</f>
        <v>1.3</v>
      </c>
      <c r="W90" s="1">
        <v>1.3</v>
      </c>
      <c r="X90" s="1">
        <f t="shared" ref="X90:X109" si="166">X129-W90</f>
        <v>1.4999999999999998</v>
      </c>
      <c r="Y90" s="1">
        <f t="shared" ref="Y90:Y109" si="167">Y129-X90-W90</f>
        <v>0.99999999999999978</v>
      </c>
      <c r="Z90" s="1">
        <v>-4</v>
      </c>
      <c r="AI90" s="1">
        <v>0</v>
      </c>
      <c r="AJ90" s="1">
        <v>2</v>
      </c>
      <c r="AK90" s="1">
        <v>3.9</v>
      </c>
      <c r="AL90" s="1">
        <f t="shared" si="156"/>
        <v>3.7</v>
      </c>
      <c r="AM90" s="1">
        <f t="shared" si="157"/>
        <v>-0.20000000000000018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</row>
    <row r="91" spans="2:50" x14ac:dyDescent="0.3">
      <c r="B91" t="s">
        <v>112</v>
      </c>
      <c r="S91" s="1">
        <v>0</v>
      </c>
      <c r="T91" s="1">
        <f t="shared" si="163"/>
        <v>0</v>
      </c>
      <c r="U91" s="1">
        <f t="shared" si="164"/>
        <v>0</v>
      </c>
      <c r="V91" s="1">
        <f t="shared" si="165"/>
        <v>10.9</v>
      </c>
      <c r="W91" s="1">
        <v>53</v>
      </c>
      <c r="X91" s="1">
        <f t="shared" si="166"/>
        <v>0</v>
      </c>
      <c r="Y91" s="1">
        <f t="shared" si="167"/>
        <v>0</v>
      </c>
      <c r="Z91" s="1">
        <v>5.3</v>
      </c>
      <c r="AI91" s="1">
        <v>0</v>
      </c>
      <c r="AJ91" s="1">
        <v>12.7</v>
      </c>
      <c r="AK91" s="1">
        <v>20.3</v>
      </c>
      <c r="AL91" s="1">
        <f t="shared" si="156"/>
        <v>10.9</v>
      </c>
      <c r="AM91" s="1">
        <f t="shared" si="157"/>
        <v>58.3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</row>
    <row r="92" spans="2:50" x14ac:dyDescent="0.3">
      <c r="B92" t="s">
        <v>113</v>
      </c>
      <c r="S92" s="1">
        <v>85.8</v>
      </c>
      <c r="T92" s="1">
        <f t="shared" si="163"/>
        <v>8.2000000000000028</v>
      </c>
      <c r="U92" s="1">
        <f t="shared" si="164"/>
        <v>2.5999999999999943</v>
      </c>
      <c r="V92" s="1">
        <f t="shared" si="165"/>
        <v>0</v>
      </c>
      <c r="W92" s="1">
        <v>-16.8</v>
      </c>
      <c r="X92" s="1">
        <f t="shared" si="166"/>
        <v>-189.79999999999998</v>
      </c>
      <c r="Y92" s="1">
        <f t="shared" si="167"/>
        <v>-4.300000000000022</v>
      </c>
      <c r="Z92" s="1">
        <v>-230.6</v>
      </c>
      <c r="AI92" s="1">
        <v>-12.5</v>
      </c>
      <c r="AJ92" s="1">
        <v>2570.4</v>
      </c>
      <c r="AK92" s="1">
        <v>1179.5</v>
      </c>
      <c r="AL92" s="1">
        <f t="shared" si="156"/>
        <v>96.6</v>
      </c>
      <c r="AM92" s="1">
        <f t="shared" si="157"/>
        <v>-441.5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</row>
    <row r="93" spans="2:50" x14ac:dyDescent="0.3">
      <c r="B93" t="s">
        <v>83</v>
      </c>
      <c r="S93" s="1">
        <v>4.5999999999999996</v>
      </c>
      <c r="T93" s="1">
        <f t="shared" si="163"/>
        <v>4</v>
      </c>
      <c r="U93" s="1">
        <f t="shared" si="164"/>
        <v>4.5</v>
      </c>
      <c r="V93" s="1">
        <f t="shared" si="165"/>
        <v>7.2000000000000011</v>
      </c>
      <c r="W93" s="1">
        <v>10.6</v>
      </c>
      <c r="X93" s="1">
        <f t="shared" si="166"/>
        <v>-3.3999999999999995</v>
      </c>
      <c r="Y93" s="1">
        <f t="shared" si="167"/>
        <v>245.4</v>
      </c>
      <c r="Z93" s="1">
        <v>233.4</v>
      </c>
      <c r="AI93" s="1">
        <v>-5.8</v>
      </c>
      <c r="AJ93" s="1">
        <v>105</v>
      </c>
      <c r="AK93" s="1">
        <v>90.8</v>
      </c>
      <c r="AL93" s="1">
        <f t="shared" si="156"/>
        <v>20.3</v>
      </c>
      <c r="AM93" s="1">
        <f t="shared" si="157"/>
        <v>486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</row>
    <row r="94" spans="2:50" x14ac:dyDescent="0.3">
      <c r="B94" t="s">
        <v>114</v>
      </c>
      <c r="S94" s="1"/>
      <c r="T94" s="1">
        <f t="shared" si="163"/>
        <v>0</v>
      </c>
      <c r="U94" s="1">
        <f t="shared" si="164"/>
        <v>0</v>
      </c>
      <c r="V94" s="1">
        <f t="shared" si="165"/>
        <v>0</v>
      </c>
      <c r="W94" s="1"/>
      <c r="X94" s="1">
        <f t="shared" si="166"/>
        <v>-5.7</v>
      </c>
      <c r="Y94" s="1">
        <f t="shared" si="167"/>
        <v>-1.7999999999999998</v>
      </c>
      <c r="Z94" s="1">
        <v>0.1</v>
      </c>
      <c r="AI94" s="1">
        <v>-3</v>
      </c>
      <c r="AJ94" s="1">
        <v>-15.8</v>
      </c>
      <c r="AK94" s="1">
        <v>0</v>
      </c>
      <c r="AL94" s="1">
        <f t="shared" si="156"/>
        <v>0</v>
      </c>
      <c r="AM94" s="1">
        <f t="shared" si="157"/>
        <v>-7.4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</row>
    <row r="95" spans="2:50" x14ac:dyDescent="0.3">
      <c r="B95" t="s">
        <v>115</v>
      </c>
      <c r="S95" s="1"/>
      <c r="T95" s="1">
        <f t="shared" si="163"/>
        <v>1.2</v>
      </c>
      <c r="U95" s="1">
        <f t="shared" si="164"/>
        <v>0</v>
      </c>
      <c r="V95" s="1">
        <f t="shared" si="165"/>
        <v>0</v>
      </c>
      <c r="W95" s="1"/>
      <c r="X95" s="1">
        <f t="shared" si="166"/>
        <v>0</v>
      </c>
      <c r="Y95" s="1">
        <f t="shared" si="167"/>
        <v>0</v>
      </c>
      <c r="Z95" s="1">
        <v>0</v>
      </c>
      <c r="AI95" s="1"/>
      <c r="AJ95" s="1"/>
      <c r="AK95" s="1"/>
      <c r="AL95" s="1">
        <f t="shared" si="156"/>
        <v>1.2</v>
      </c>
      <c r="AM95" s="1">
        <f t="shared" si="157"/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</row>
    <row r="96" spans="2:50" x14ac:dyDescent="0.3">
      <c r="B96" t="s">
        <v>76</v>
      </c>
      <c r="S96" s="1">
        <v>2616</v>
      </c>
      <c r="T96" s="1">
        <f t="shared" si="163"/>
        <v>1284.8000000000002</v>
      </c>
      <c r="U96" s="1">
        <f t="shared" si="164"/>
        <v>-1713.7000000000003</v>
      </c>
      <c r="V96" s="1">
        <f t="shared" si="165"/>
        <v>-2154.8000000000002</v>
      </c>
      <c r="W96" s="1">
        <v>-1963</v>
      </c>
      <c r="X96" s="1">
        <f t="shared" si="166"/>
        <v>-395.90000000000009</v>
      </c>
      <c r="Y96" s="1">
        <f t="shared" si="167"/>
        <v>1853.5</v>
      </c>
      <c r="Z96" s="1">
        <v>-2476.4</v>
      </c>
      <c r="AE96" s="1"/>
      <c r="AI96" s="1">
        <v>-2081.9</v>
      </c>
      <c r="AJ96" s="1">
        <v>-2993.4</v>
      </c>
      <c r="AK96" s="1">
        <v>740.2</v>
      </c>
      <c r="AL96" s="1">
        <f t="shared" si="156"/>
        <v>32.299999999999727</v>
      </c>
      <c r="AM96" s="1">
        <f t="shared" si="157"/>
        <v>-2981.8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</row>
    <row r="97" spans="2:50" x14ac:dyDescent="0.3">
      <c r="B97" t="s">
        <v>85</v>
      </c>
      <c r="S97" s="1">
        <v>2</v>
      </c>
      <c r="T97" s="1">
        <f t="shared" si="163"/>
        <v>9.6</v>
      </c>
      <c r="U97" s="1">
        <f t="shared" si="164"/>
        <v>0.40000000000000036</v>
      </c>
      <c r="V97" s="1">
        <f t="shared" si="165"/>
        <v>8.2999999999999989</v>
      </c>
      <c r="W97" s="1">
        <v>10.3</v>
      </c>
      <c r="X97" s="1">
        <f t="shared" si="166"/>
        <v>-2.6000000000000005</v>
      </c>
      <c r="Y97" s="1">
        <f t="shared" si="167"/>
        <v>15.8</v>
      </c>
      <c r="Z97" s="1">
        <v>4.5</v>
      </c>
      <c r="AI97" s="1">
        <v>8.6999999999999993</v>
      </c>
      <c r="AJ97" s="1">
        <v>1.1000000000000001</v>
      </c>
      <c r="AK97" s="1">
        <v>12.9</v>
      </c>
      <c r="AL97" s="1">
        <f t="shared" si="156"/>
        <v>20.299999999999997</v>
      </c>
      <c r="AM97" s="1">
        <f t="shared" si="157"/>
        <v>28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</row>
    <row r="98" spans="2:50" x14ac:dyDescent="0.3">
      <c r="B98" t="s">
        <v>50</v>
      </c>
      <c r="S98" s="1">
        <v>-50.7</v>
      </c>
      <c r="T98" s="1">
        <f t="shared" si="163"/>
        <v>-9.3999999999999986</v>
      </c>
      <c r="U98" s="1">
        <f t="shared" si="164"/>
        <v>216.60000000000002</v>
      </c>
      <c r="V98" s="1">
        <f t="shared" si="165"/>
        <v>-17.500000000000014</v>
      </c>
      <c r="W98" s="1">
        <v>-63.4</v>
      </c>
      <c r="X98" s="1">
        <f t="shared" si="166"/>
        <v>54.599999999999994</v>
      </c>
      <c r="Y98" s="1">
        <f t="shared" si="167"/>
        <v>-19.29999999999999</v>
      </c>
      <c r="Z98" s="1">
        <v>27.8</v>
      </c>
      <c r="AI98" s="1">
        <v>-18.600000000000001</v>
      </c>
      <c r="AJ98" s="1">
        <v>-238.1</v>
      </c>
      <c r="AK98" s="1">
        <v>261.89999999999998</v>
      </c>
      <c r="AL98" s="1">
        <f t="shared" si="156"/>
        <v>139</v>
      </c>
      <c r="AM98" s="1">
        <f t="shared" si="157"/>
        <v>-0.29999999999999361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</row>
    <row r="99" spans="2:50" x14ac:dyDescent="0.3">
      <c r="B99" t="s">
        <v>82</v>
      </c>
      <c r="S99" s="1">
        <v>26.8</v>
      </c>
      <c r="T99" s="1">
        <f t="shared" si="163"/>
        <v>19.8</v>
      </c>
      <c r="U99" s="1">
        <f t="shared" si="164"/>
        <v>20.100000000000005</v>
      </c>
      <c r="V99" s="1">
        <f t="shared" si="165"/>
        <v>-25.400000000000009</v>
      </c>
      <c r="W99" s="1">
        <v>-14</v>
      </c>
      <c r="X99" s="1">
        <f t="shared" si="166"/>
        <v>82.4</v>
      </c>
      <c r="Y99" s="1">
        <f t="shared" si="167"/>
        <v>19.5</v>
      </c>
      <c r="Z99" s="1">
        <v>-33.4</v>
      </c>
      <c r="AI99" s="1">
        <v>-106.4</v>
      </c>
      <c r="AJ99" s="1">
        <v>-260.10000000000002</v>
      </c>
      <c r="AK99" s="1">
        <v>153</v>
      </c>
      <c r="AL99" s="1">
        <f t="shared" si="156"/>
        <v>41.3</v>
      </c>
      <c r="AM99" s="1">
        <f t="shared" si="157"/>
        <v>54.500000000000007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</row>
    <row r="100" spans="2:50" x14ac:dyDescent="0.3">
      <c r="B100" t="s">
        <v>79</v>
      </c>
      <c r="S100" s="1">
        <v>-18.399999999999999</v>
      </c>
      <c r="T100" s="1">
        <f t="shared" si="163"/>
        <v>7.8999999999999986</v>
      </c>
      <c r="U100" s="1">
        <f t="shared" si="164"/>
        <v>55.3</v>
      </c>
      <c r="V100" s="1">
        <f t="shared" si="165"/>
        <v>160.30000000000001</v>
      </c>
      <c r="W100" s="1">
        <v>-184.1</v>
      </c>
      <c r="X100" s="1">
        <f t="shared" si="166"/>
        <v>169.4</v>
      </c>
      <c r="Y100" s="1">
        <f t="shared" si="167"/>
        <v>-14.100000000000023</v>
      </c>
      <c r="Z100" s="1">
        <v>839.6</v>
      </c>
      <c r="AI100" s="1">
        <v>-1362.4</v>
      </c>
      <c r="AJ100" s="1">
        <v>244.2</v>
      </c>
      <c r="AK100" s="1">
        <v>707.5</v>
      </c>
      <c r="AL100" s="1">
        <f t="shared" si="156"/>
        <v>205.10000000000002</v>
      </c>
      <c r="AM100" s="1">
        <f t="shared" si="157"/>
        <v>810.8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</row>
    <row r="101" spans="2:50" x14ac:dyDescent="0.3">
      <c r="B101" t="s">
        <v>80</v>
      </c>
      <c r="S101" s="1">
        <v>0</v>
      </c>
      <c r="T101" s="1">
        <f t="shared" si="163"/>
        <v>0</v>
      </c>
      <c r="U101" s="1">
        <f t="shared" si="164"/>
        <v>0</v>
      </c>
      <c r="V101" s="1">
        <f t="shared" si="165"/>
        <v>-312.8</v>
      </c>
      <c r="W101" s="1">
        <v>-193.1</v>
      </c>
      <c r="X101" s="1">
        <f t="shared" si="166"/>
        <v>-121.29999999999998</v>
      </c>
      <c r="Y101" s="1">
        <f t="shared" si="167"/>
        <v>-149.20000000000007</v>
      </c>
      <c r="Z101" s="1">
        <v>-207.2</v>
      </c>
      <c r="AI101" s="1"/>
      <c r="AJ101" s="1"/>
      <c r="AK101" s="1"/>
      <c r="AL101" s="1">
        <f t="shared" si="156"/>
        <v>-312.8</v>
      </c>
      <c r="AM101" s="1">
        <f t="shared" si="157"/>
        <v>-670.8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</row>
    <row r="102" spans="2:50" x14ac:dyDescent="0.3">
      <c r="B102" t="s">
        <v>91</v>
      </c>
      <c r="S102" s="1">
        <v>-2367.4</v>
      </c>
      <c r="T102" s="1">
        <f t="shared" si="163"/>
        <v>-1427.1</v>
      </c>
      <c r="U102" s="1">
        <f t="shared" si="164"/>
        <v>153.19999999999982</v>
      </c>
      <c r="V102" s="1">
        <f t="shared" si="165"/>
        <v>259.20000000000027</v>
      </c>
      <c r="W102" s="1">
        <v>-1778.7</v>
      </c>
      <c r="X102" s="1">
        <f t="shared" si="166"/>
        <v>-2238</v>
      </c>
      <c r="Y102" s="1">
        <f t="shared" si="167"/>
        <v>-3682</v>
      </c>
      <c r="Z102" s="1">
        <v>-808.6</v>
      </c>
      <c r="AI102" s="1">
        <v>1379.1</v>
      </c>
      <c r="AJ102" s="1">
        <v>4276.3</v>
      </c>
      <c r="AK102" s="1">
        <f>-3633.9</f>
        <v>-3633.9</v>
      </c>
      <c r="AL102" s="1">
        <f t="shared" si="156"/>
        <v>-3382.1</v>
      </c>
      <c r="AM102" s="1">
        <f t="shared" si="157"/>
        <v>-8507.2999999999993</v>
      </c>
      <c r="AN102" s="1">
        <v>-3000</v>
      </c>
      <c r="AO102" s="1">
        <f>AN102*0.9</f>
        <v>-2700</v>
      </c>
      <c r="AP102" s="1">
        <f t="shared" ref="AP102:AX102" si="168">AO102*0.9</f>
        <v>-2430</v>
      </c>
      <c r="AQ102" s="1">
        <f t="shared" si="168"/>
        <v>-2187</v>
      </c>
      <c r="AR102" s="1">
        <f t="shared" si="168"/>
        <v>-1968.3</v>
      </c>
      <c r="AS102" s="1">
        <f t="shared" si="168"/>
        <v>-1771.47</v>
      </c>
      <c r="AT102" s="1">
        <f t="shared" si="168"/>
        <v>-1594.3230000000001</v>
      </c>
      <c r="AU102" s="1">
        <f t="shared" si="168"/>
        <v>-1434.8907000000002</v>
      </c>
      <c r="AV102" s="1">
        <f t="shared" si="168"/>
        <v>-1291.4016300000001</v>
      </c>
      <c r="AW102" s="1">
        <f t="shared" si="168"/>
        <v>-1162.261467</v>
      </c>
      <c r="AX102" s="1">
        <f t="shared" si="168"/>
        <v>-1046.0353203</v>
      </c>
    </row>
    <row r="103" spans="2:50" x14ac:dyDescent="0.3">
      <c r="B103" t="s">
        <v>50</v>
      </c>
      <c r="S103" s="1">
        <v>74.099999999999994</v>
      </c>
      <c r="T103" s="1">
        <f t="shared" si="163"/>
        <v>18.5</v>
      </c>
      <c r="U103" s="1">
        <f t="shared" si="164"/>
        <v>-26.099999999999994</v>
      </c>
      <c r="V103" s="1">
        <f t="shared" si="165"/>
        <v>103.30000000000001</v>
      </c>
      <c r="W103" s="1">
        <v>156.1</v>
      </c>
      <c r="X103" s="1">
        <f t="shared" si="166"/>
        <v>54.200000000000017</v>
      </c>
      <c r="Y103" s="1">
        <f t="shared" si="167"/>
        <v>-374.8</v>
      </c>
      <c r="Z103" s="1">
        <v>158.19999999999999</v>
      </c>
      <c r="AI103" s="1">
        <v>270</v>
      </c>
      <c r="AJ103" s="1">
        <v>247.4</v>
      </c>
      <c r="AK103" s="1">
        <v>137.80000000000001</v>
      </c>
      <c r="AL103" s="1">
        <f t="shared" si="156"/>
        <v>169.8</v>
      </c>
      <c r="AM103" s="1">
        <f t="shared" si="157"/>
        <v>-6.3000000000000114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</row>
    <row r="104" spans="2:50" x14ac:dyDescent="0.3">
      <c r="B104" t="s">
        <v>95</v>
      </c>
      <c r="S104" s="1">
        <v>-74.900000000000006</v>
      </c>
      <c r="T104" s="1">
        <f t="shared" si="163"/>
        <v>67.300000000000011</v>
      </c>
      <c r="U104" s="1">
        <f t="shared" si="164"/>
        <v>74.199999999999989</v>
      </c>
      <c r="V104" s="1">
        <f t="shared" si="165"/>
        <v>-47.3</v>
      </c>
      <c r="W104" s="1">
        <v>-116.1</v>
      </c>
      <c r="X104" s="1">
        <f t="shared" si="166"/>
        <v>84.6</v>
      </c>
      <c r="Y104" s="1">
        <f t="shared" si="167"/>
        <v>88.7</v>
      </c>
      <c r="Z104" s="1">
        <v>-27.2</v>
      </c>
      <c r="AI104" s="1">
        <v>110</v>
      </c>
      <c r="AJ104" s="1">
        <v>-37.4</v>
      </c>
      <c r="AK104" s="1">
        <v>195.3</v>
      </c>
      <c r="AL104" s="1">
        <f t="shared" si="156"/>
        <v>19.299999999999997</v>
      </c>
      <c r="AM104" s="1">
        <f t="shared" si="157"/>
        <v>30.000000000000004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</row>
    <row r="105" spans="2:50" x14ac:dyDescent="0.3">
      <c r="B105" t="s">
        <v>97</v>
      </c>
      <c r="S105" s="1">
        <v>-15.6</v>
      </c>
      <c r="T105" s="1">
        <f t="shared" si="163"/>
        <v>-1.2999999999999989</v>
      </c>
      <c r="U105" s="1">
        <f t="shared" si="164"/>
        <v>-10.9</v>
      </c>
      <c r="V105" s="1">
        <f t="shared" si="165"/>
        <v>-6.2000000000000046</v>
      </c>
      <c r="W105" s="1">
        <v>-7.4</v>
      </c>
      <c r="X105" s="1">
        <f t="shared" si="166"/>
        <v>-22.200000000000003</v>
      </c>
      <c r="Y105" s="1">
        <f t="shared" si="167"/>
        <v>-15.299999999999995</v>
      </c>
      <c r="Z105" s="1">
        <v>-14</v>
      </c>
      <c r="AI105" s="1">
        <v>-2.2000000000000002</v>
      </c>
      <c r="AJ105" s="1">
        <v>-10.199999999999999</v>
      </c>
      <c r="AK105" s="1">
        <v>-10</v>
      </c>
      <c r="AL105" s="1">
        <f t="shared" si="156"/>
        <v>-34</v>
      </c>
      <c r="AM105" s="1">
        <f t="shared" si="157"/>
        <v>-58.9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</row>
    <row r="106" spans="2:50" x14ac:dyDescent="0.3">
      <c r="B106" t="s">
        <v>92</v>
      </c>
      <c r="S106" s="1">
        <v>1.2</v>
      </c>
      <c r="T106" s="1">
        <f t="shared" si="163"/>
        <v>-3.3</v>
      </c>
      <c r="U106" s="1">
        <f t="shared" si="164"/>
        <v>-32.699999999999996</v>
      </c>
      <c r="V106" s="1">
        <f t="shared" si="165"/>
        <v>-45.20000000000001</v>
      </c>
      <c r="W106" s="1">
        <v>80.5</v>
      </c>
      <c r="X106" s="1">
        <f t="shared" si="166"/>
        <v>80.300000000000011</v>
      </c>
      <c r="Y106" s="1">
        <f t="shared" si="167"/>
        <v>64.099999999999994</v>
      </c>
      <c r="Z106" s="1">
        <v>136.80000000000001</v>
      </c>
      <c r="AI106" s="1">
        <v>31.8</v>
      </c>
      <c r="AJ106" s="1">
        <v>40.799999999999997</v>
      </c>
      <c r="AK106" s="1">
        <v>323.60000000000002</v>
      </c>
      <c r="AL106" s="1">
        <f t="shared" si="156"/>
        <v>-80</v>
      </c>
      <c r="AM106" s="1">
        <f t="shared" si="157"/>
        <v>361.70000000000005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</row>
    <row r="107" spans="2:50" x14ac:dyDescent="0.3">
      <c r="B107" t="s">
        <v>116</v>
      </c>
      <c r="S107" s="1">
        <v>-133.4</v>
      </c>
      <c r="T107" s="1">
        <f t="shared" si="163"/>
        <v>-303.70000000000005</v>
      </c>
      <c r="U107" s="1">
        <f t="shared" si="164"/>
        <v>-43.099999999999937</v>
      </c>
      <c r="V107" s="1">
        <f t="shared" si="165"/>
        <v>-269.20000000000005</v>
      </c>
      <c r="W107" s="1">
        <v>-51.2</v>
      </c>
      <c r="X107" s="1">
        <f t="shared" si="166"/>
        <v>-262.3</v>
      </c>
      <c r="Y107" s="1">
        <f t="shared" si="167"/>
        <v>-266.29999999999995</v>
      </c>
      <c r="Z107" s="1">
        <v>-202.6</v>
      </c>
      <c r="AI107" s="1">
        <v>-177.6</v>
      </c>
      <c r="AJ107" s="1">
        <v>-299.7</v>
      </c>
      <c r="AK107" s="1">
        <v>-430.4</v>
      </c>
      <c r="AL107" s="1">
        <f t="shared" si="156"/>
        <v>-749.4</v>
      </c>
      <c r="AM107" s="1">
        <f t="shared" si="157"/>
        <v>-782.4</v>
      </c>
      <c r="AN107" s="1">
        <f>AM107*1.02</f>
        <v>-798.048</v>
      </c>
      <c r="AO107" s="1">
        <f t="shared" ref="AO107:AX107" si="169">AN107*1.02</f>
        <v>-814.00896</v>
      </c>
      <c r="AP107" s="1">
        <f t="shared" si="169"/>
        <v>-830.28913920000002</v>
      </c>
      <c r="AQ107" s="1">
        <f t="shared" si="169"/>
        <v>-846.89492198400001</v>
      </c>
      <c r="AR107" s="1">
        <f t="shared" si="169"/>
        <v>-863.83282042368</v>
      </c>
      <c r="AS107" s="1">
        <f t="shared" si="169"/>
        <v>-881.10947683215363</v>
      </c>
      <c r="AT107" s="1">
        <f t="shared" si="169"/>
        <v>-898.73166636879671</v>
      </c>
      <c r="AU107" s="1">
        <f t="shared" si="169"/>
        <v>-916.70629969617266</v>
      </c>
      <c r="AV107" s="1">
        <f t="shared" si="169"/>
        <v>-935.04042569009619</v>
      </c>
      <c r="AW107" s="1">
        <f t="shared" si="169"/>
        <v>-953.7412342038981</v>
      </c>
      <c r="AX107" s="1">
        <f t="shared" si="169"/>
        <v>-972.81605888797606</v>
      </c>
    </row>
    <row r="108" spans="2:50" x14ac:dyDescent="0.3">
      <c r="B108" t="s">
        <v>117</v>
      </c>
      <c r="S108" s="1">
        <v>606.79999999999995</v>
      </c>
      <c r="T108" s="1">
        <f t="shared" si="163"/>
        <v>538.90000000000009</v>
      </c>
      <c r="U108" s="1">
        <f t="shared" si="164"/>
        <v>679.3</v>
      </c>
      <c r="V108" s="1">
        <f t="shared" si="165"/>
        <v>941.90000000000032</v>
      </c>
      <c r="W108" s="1">
        <v>958.2</v>
      </c>
      <c r="X108" s="1">
        <f t="shared" si="166"/>
        <v>1080.7</v>
      </c>
      <c r="Y108" s="1">
        <f t="shared" si="167"/>
        <v>1203.8</v>
      </c>
      <c r="Z108" s="1">
        <v>1335.5</v>
      </c>
      <c r="AI108" s="1">
        <v>1172.8</v>
      </c>
      <c r="AJ108" s="1">
        <v>1578.9</v>
      </c>
      <c r="AK108" s="1">
        <v>2058.6999999999998</v>
      </c>
      <c r="AL108" s="1">
        <f t="shared" si="156"/>
        <v>2766.9000000000005</v>
      </c>
      <c r="AM108" s="1">
        <f t="shared" si="157"/>
        <v>4578.2</v>
      </c>
      <c r="AN108" s="1">
        <f>AM108*1.01</f>
        <v>4623.982</v>
      </c>
      <c r="AO108" s="1">
        <f t="shared" ref="AO108:AX108" si="170">AN108*1.01</f>
        <v>4670.2218199999998</v>
      </c>
      <c r="AP108" s="1">
        <f t="shared" si="170"/>
        <v>4716.9240381999998</v>
      </c>
      <c r="AQ108" s="1">
        <f t="shared" si="170"/>
        <v>4764.0932785819996</v>
      </c>
      <c r="AR108" s="1">
        <f t="shared" si="170"/>
        <v>4811.7342113678196</v>
      </c>
      <c r="AS108" s="1">
        <f t="shared" si="170"/>
        <v>4859.8515534814978</v>
      </c>
      <c r="AT108" s="1">
        <f t="shared" si="170"/>
        <v>4908.4500690163131</v>
      </c>
      <c r="AU108" s="1">
        <f t="shared" si="170"/>
        <v>4957.5345697064768</v>
      </c>
      <c r="AV108" s="1">
        <f t="shared" si="170"/>
        <v>5007.1099154035419</v>
      </c>
      <c r="AW108" s="1">
        <f t="shared" si="170"/>
        <v>5057.1810145575773</v>
      </c>
      <c r="AX108" s="1">
        <f t="shared" si="170"/>
        <v>5107.7528247031532</v>
      </c>
    </row>
    <row r="109" spans="2:50" x14ac:dyDescent="0.3">
      <c r="B109" t="s">
        <v>50</v>
      </c>
      <c r="S109" s="1">
        <v>-28.4</v>
      </c>
      <c r="T109" s="1">
        <f t="shared" si="163"/>
        <v>-18.899999999999999</v>
      </c>
      <c r="U109" s="1">
        <f t="shared" si="164"/>
        <v>-36.000000000000007</v>
      </c>
      <c r="V109" s="1">
        <f t="shared" si="165"/>
        <v>-32.799999999999997</v>
      </c>
      <c r="W109" s="1">
        <v>-64.2</v>
      </c>
      <c r="X109" s="1">
        <f t="shared" si="166"/>
        <v>-11.399999999999991</v>
      </c>
      <c r="Y109" s="1">
        <f t="shared" si="167"/>
        <v>-44</v>
      </c>
      <c r="Z109" s="1">
        <v>-54.4</v>
      </c>
      <c r="AI109" s="1">
        <v>-157.69999999999999</v>
      </c>
      <c r="AJ109" s="1">
        <v>-128.19999999999999</v>
      </c>
      <c r="AK109" s="1">
        <v>-191.1</v>
      </c>
      <c r="AL109" s="1">
        <f t="shared" si="156"/>
        <v>-116.10000000000001</v>
      </c>
      <c r="AM109" s="1">
        <f t="shared" si="157"/>
        <v>-174</v>
      </c>
      <c r="AN109" s="1">
        <f>AM109*1.02</f>
        <v>-177.48</v>
      </c>
      <c r="AO109" s="1">
        <f t="shared" ref="AO109:AX109" si="171">AN109*1.02</f>
        <v>-181.02959999999999</v>
      </c>
      <c r="AP109" s="1">
        <f t="shared" si="171"/>
        <v>-184.650192</v>
      </c>
      <c r="AQ109" s="1">
        <f t="shared" si="171"/>
        <v>-188.34319584000002</v>
      </c>
      <c r="AR109" s="1">
        <f t="shared" si="171"/>
        <v>-192.11005975680001</v>
      </c>
      <c r="AS109" s="1">
        <f t="shared" si="171"/>
        <v>-195.95226095193601</v>
      </c>
      <c r="AT109" s="1">
        <f t="shared" si="171"/>
        <v>-199.87130617097475</v>
      </c>
      <c r="AU109" s="1">
        <f t="shared" si="171"/>
        <v>-203.86873229439425</v>
      </c>
      <c r="AV109" s="1">
        <f t="shared" si="171"/>
        <v>-207.94610694028214</v>
      </c>
      <c r="AW109" s="1">
        <f t="shared" si="171"/>
        <v>-212.10502907908779</v>
      </c>
      <c r="AX109" s="1">
        <f t="shared" si="171"/>
        <v>-216.34712966066954</v>
      </c>
    </row>
    <row r="110" spans="2:50" s="7" customFormat="1" x14ac:dyDescent="0.3">
      <c r="B110" s="7" t="s">
        <v>118</v>
      </c>
      <c r="O110" s="9">
        <f t="shared" ref="O110:X110" si="172">O80+SUM(O81:O109)</f>
        <v>-313.09999999999997</v>
      </c>
      <c r="P110" s="9">
        <f t="shared" si="172"/>
        <v>-487.40000000000015</v>
      </c>
      <c r="Q110" s="9">
        <f t="shared" si="172"/>
        <v>202.49999999999997</v>
      </c>
      <c r="R110" s="9">
        <f t="shared" si="172"/>
        <v>78.899999999999949</v>
      </c>
      <c r="S110" s="9">
        <f t="shared" si="172"/>
        <v>1168.4000000000001</v>
      </c>
      <c r="T110" s="9">
        <f t="shared" si="172"/>
        <v>830.80000000000018</v>
      </c>
      <c r="U110" s="9">
        <f t="shared" si="172"/>
        <v>60.399999999999352</v>
      </c>
      <c r="V110" s="9">
        <f t="shared" si="172"/>
        <v>-416.09999999999991</v>
      </c>
      <c r="W110" s="9">
        <f t="shared" si="172"/>
        <v>-2473.9999999999995</v>
      </c>
      <c r="X110" s="9">
        <f t="shared" si="172"/>
        <v>-718.10000000000014</v>
      </c>
      <c r="Y110" s="9">
        <f>Y80+SUM(Y81:Y109)</f>
        <v>-134.40000000000009</v>
      </c>
      <c r="Z110" s="9">
        <f>Z80+SUM(Z81:Z109)</f>
        <v>-300.70000000000027</v>
      </c>
      <c r="AA110" s="9"/>
      <c r="AB110" s="9"/>
      <c r="AC110" s="9"/>
      <c r="AD110" s="9"/>
      <c r="AI110" s="9">
        <f t="shared" ref="AI110" si="173">AI80+SUM(AI81:AI109)</f>
        <v>73.099999999999568</v>
      </c>
      <c r="AJ110" s="9">
        <f t="shared" ref="AJ110:AK110" si="174">AJ80+SUM(AJ81:AJ109)</f>
        <v>3625.7000000000007</v>
      </c>
      <c r="AK110" s="9">
        <f t="shared" si="174"/>
        <v>1690.8000000000011</v>
      </c>
      <c r="AL110" s="9">
        <f t="shared" ref="AL110:AN110" si="175">AL80+SUM(AL81:AL109)</f>
        <v>1643.500000000002</v>
      </c>
      <c r="AM110" s="9">
        <f t="shared" si="175"/>
        <v>-3627.199999999998</v>
      </c>
      <c r="AN110" s="9">
        <f t="shared" si="175"/>
        <v>4335.4190159999998</v>
      </c>
      <c r="AO110" s="9">
        <f t="shared" ref="AO110:AX110" si="176">AO80+SUM(AO81:AO109)</f>
        <v>5092.6038159499985</v>
      </c>
      <c r="AP110" s="9">
        <f t="shared" si="176"/>
        <v>5624.1844172533001</v>
      </c>
      <c r="AQ110" s="9">
        <f t="shared" si="176"/>
        <v>6068.0749532301652</v>
      </c>
      <c r="AR110" s="9">
        <f t="shared" si="176"/>
        <v>6403.2793322172965</v>
      </c>
      <c r="AS110" s="9">
        <f t="shared" si="176"/>
        <v>6710.8864397264842</v>
      </c>
      <c r="AT110" s="9">
        <f t="shared" si="176"/>
        <v>6947.2741807602997</v>
      </c>
      <c r="AU110" s="9">
        <f t="shared" si="176"/>
        <v>7119.2290787309103</v>
      </c>
      <c r="AV110" s="9">
        <f t="shared" si="176"/>
        <v>7275.2672234476995</v>
      </c>
      <c r="AW110" s="9">
        <f t="shared" si="176"/>
        <v>7416.9363692980141</v>
      </c>
      <c r="AX110" s="9">
        <f t="shared" si="176"/>
        <v>7545.6255223540084</v>
      </c>
    </row>
    <row r="111" spans="2:50" x14ac:dyDescent="0.3">
      <c r="B111" t="s">
        <v>88</v>
      </c>
      <c r="S111" s="1">
        <v>340.3</v>
      </c>
      <c r="T111" s="1">
        <f>T150-S111</f>
        <v>196.2</v>
      </c>
      <c r="U111" s="1">
        <f>U150-T111-S111</f>
        <v>55.299999999999955</v>
      </c>
      <c r="V111" s="1">
        <f>V150-U111-T111-S111</f>
        <v>144.40000000000009</v>
      </c>
      <c r="W111" s="1">
        <v>180.6</v>
      </c>
      <c r="X111" s="1">
        <f>X150-W111</f>
        <v>210.29999999999998</v>
      </c>
      <c r="Y111" s="1">
        <f>Y150-X111-W111</f>
        <v>170.20000000000007</v>
      </c>
      <c r="Z111" s="1">
        <v>203.4</v>
      </c>
      <c r="AA111" s="1"/>
      <c r="AB111" s="1"/>
      <c r="AC111" s="1"/>
      <c r="AD111" s="1"/>
      <c r="AI111" s="1">
        <v>372.1</v>
      </c>
      <c r="AJ111" s="1">
        <v>1083</v>
      </c>
      <c r="AK111" s="1">
        <v>417.7</v>
      </c>
      <c r="AL111" s="1">
        <f t="shared" ref="AL111:AL112" si="177">SUM(S111:V111)</f>
        <v>736.2</v>
      </c>
      <c r="AM111" s="1">
        <f t="shared" ref="AM111:AM112" si="178">SUM(W111:Z111)</f>
        <v>764.5</v>
      </c>
      <c r="AN111" s="1">
        <f>AM111*1.02</f>
        <v>779.79</v>
      </c>
      <c r="AO111" s="1">
        <f t="shared" ref="AO111:AX111" si="179">AN111*1.02</f>
        <v>795.38580000000002</v>
      </c>
      <c r="AP111" s="1">
        <f t="shared" si="179"/>
        <v>811.29351600000007</v>
      </c>
      <c r="AQ111" s="1">
        <f t="shared" si="179"/>
        <v>827.51938632000008</v>
      </c>
      <c r="AR111" s="1">
        <f t="shared" si="179"/>
        <v>844.06977404640008</v>
      </c>
      <c r="AS111" s="1">
        <f t="shared" si="179"/>
        <v>860.95116952732815</v>
      </c>
      <c r="AT111" s="1">
        <f t="shared" si="179"/>
        <v>878.17019291787472</v>
      </c>
      <c r="AU111" s="1">
        <f t="shared" si="179"/>
        <v>895.73359677623228</v>
      </c>
      <c r="AV111" s="1">
        <f t="shared" si="179"/>
        <v>913.64826871175694</v>
      </c>
      <c r="AW111" s="1">
        <f t="shared" si="179"/>
        <v>931.92123408599207</v>
      </c>
      <c r="AX111" s="1">
        <f t="shared" si="179"/>
        <v>950.55965876771188</v>
      </c>
    </row>
    <row r="112" spans="2:50" x14ac:dyDescent="0.3">
      <c r="B112" t="s">
        <v>89</v>
      </c>
      <c r="S112" s="1">
        <v>76.099999999999994</v>
      </c>
      <c r="T112" s="1">
        <f>T151-S112</f>
        <v>136</v>
      </c>
      <c r="U112" s="1">
        <f>U151-T112-S112</f>
        <v>121.1</v>
      </c>
      <c r="V112" s="1">
        <f>V151-U112-T112-S112</f>
        <v>140.9</v>
      </c>
      <c r="W112" s="1">
        <v>126</v>
      </c>
      <c r="X112" s="1">
        <f>X151-W112</f>
        <v>134.30000000000001</v>
      </c>
      <c r="Y112" s="1">
        <f>Y151-X112-W112</f>
        <v>127.89999999999998</v>
      </c>
      <c r="Z112" s="1">
        <v>119</v>
      </c>
      <c r="AA112" s="1"/>
      <c r="AB112" s="1"/>
      <c r="AC112" s="1"/>
      <c r="AD112" s="1"/>
      <c r="AI112" s="1">
        <v>83</v>
      </c>
      <c r="AJ112" s="1">
        <v>215.7</v>
      </c>
      <c r="AK112" s="1">
        <v>305.5</v>
      </c>
      <c r="AL112" s="1">
        <f t="shared" si="177"/>
        <v>474.1</v>
      </c>
      <c r="AM112" s="1">
        <f t="shared" si="178"/>
        <v>507.2</v>
      </c>
      <c r="AN112" s="1">
        <f>AM112*1.03</f>
        <v>522.41600000000005</v>
      </c>
      <c r="AO112" s="1">
        <f t="shared" ref="AO112:AQ112" si="180">AN112*1.03</f>
        <v>538.08848000000012</v>
      </c>
      <c r="AP112" s="1">
        <f t="shared" si="180"/>
        <v>554.23113440000009</v>
      </c>
      <c r="AQ112" s="1">
        <f t="shared" si="180"/>
        <v>570.8580684320001</v>
      </c>
      <c r="AR112" s="1">
        <f>AQ112*1.02</f>
        <v>582.27522980064009</v>
      </c>
      <c r="AS112" s="1">
        <f t="shared" ref="AS112:AX112" si="181">AR112*1.02</f>
        <v>593.92073439665285</v>
      </c>
      <c r="AT112" s="1">
        <f t="shared" si="181"/>
        <v>605.79914908458591</v>
      </c>
      <c r="AU112" s="1">
        <f t="shared" si="181"/>
        <v>617.91513206627758</v>
      </c>
      <c r="AV112" s="1">
        <f t="shared" si="181"/>
        <v>630.27343470760309</v>
      </c>
      <c r="AW112" s="1">
        <f t="shared" si="181"/>
        <v>642.87890340175511</v>
      </c>
      <c r="AX112" s="1">
        <f t="shared" si="181"/>
        <v>655.73648146979019</v>
      </c>
    </row>
    <row r="113" spans="2:148" x14ac:dyDescent="0.3">
      <c r="B113" t="s">
        <v>127</v>
      </c>
      <c r="S113" s="1">
        <f>S111+S112</f>
        <v>416.4</v>
      </c>
      <c r="T113" s="1">
        <f t="shared" ref="T113:Z113" si="182">T111+T112</f>
        <v>332.2</v>
      </c>
      <c r="U113" s="1">
        <f t="shared" si="182"/>
        <v>176.39999999999995</v>
      </c>
      <c r="V113" s="1">
        <f t="shared" si="182"/>
        <v>285.30000000000007</v>
      </c>
      <c r="W113" s="1">
        <f t="shared" si="182"/>
        <v>306.60000000000002</v>
      </c>
      <c r="X113" s="1">
        <f t="shared" si="182"/>
        <v>344.6</v>
      </c>
      <c r="Y113" s="1">
        <f t="shared" si="182"/>
        <v>298.10000000000002</v>
      </c>
      <c r="Z113" s="1">
        <f t="shared" si="182"/>
        <v>322.39999999999998</v>
      </c>
      <c r="AA113" s="1"/>
      <c r="AB113" s="1"/>
      <c r="AC113" s="1"/>
      <c r="AD113" s="1"/>
      <c r="AI113" s="1">
        <f t="shared" ref="AI113:AK113" si="183">AI111+AI112</f>
        <v>455.1</v>
      </c>
      <c r="AJ113" s="1">
        <f t="shared" si="183"/>
        <v>1298.7</v>
      </c>
      <c r="AK113" s="1">
        <f t="shared" si="183"/>
        <v>723.2</v>
      </c>
      <c r="AL113" s="1">
        <f t="shared" ref="AL113" si="184">AL111+AL112</f>
        <v>1210.3000000000002</v>
      </c>
      <c r="AM113" s="1">
        <f t="shared" ref="AM113" si="185">AM111+AM112</f>
        <v>1271.7</v>
      </c>
      <c r="AN113" s="1">
        <f t="shared" ref="AN113" si="186">AN111+AN112</f>
        <v>1302.2060000000001</v>
      </c>
      <c r="AO113" s="1">
        <f t="shared" ref="AO113" si="187">AO111+AO112</f>
        <v>1333.4742800000001</v>
      </c>
      <c r="AP113" s="1">
        <f t="shared" ref="AP113" si="188">AP111+AP112</f>
        <v>1365.5246504000002</v>
      </c>
      <c r="AQ113" s="1">
        <f t="shared" ref="AQ113" si="189">AQ111+AQ112</f>
        <v>1398.3774547520002</v>
      </c>
      <c r="AR113" s="1">
        <f t="shared" ref="AR113" si="190">AR111+AR112</f>
        <v>1426.3450038470401</v>
      </c>
      <c r="AS113" s="1">
        <f t="shared" ref="AS113" si="191">AS111+AS112</f>
        <v>1454.8719039239809</v>
      </c>
      <c r="AT113" s="1">
        <f t="shared" ref="AT113" si="192">AT111+AT112</f>
        <v>1483.9693420024605</v>
      </c>
      <c r="AU113" s="1">
        <f t="shared" ref="AU113" si="193">AU111+AU112</f>
        <v>1513.6487288425099</v>
      </c>
      <c r="AV113" s="1">
        <f t="shared" ref="AV113" si="194">AV111+AV112</f>
        <v>1543.92170341936</v>
      </c>
      <c r="AW113" s="1">
        <f t="shared" ref="AW113" si="195">AW111+AW112</f>
        <v>1574.8001374877472</v>
      </c>
      <c r="AX113" s="1">
        <f t="shared" ref="AX113" si="196">AX111+AX112</f>
        <v>1606.2961402375022</v>
      </c>
    </row>
    <row r="114" spans="2:148" s="7" customFormat="1" x14ac:dyDescent="0.3">
      <c r="B114" s="7" t="s">
        <v>119</v>
      </c>
      <c r="O114" s="9">
        <f t="shared" ref="O114:R114" si="197">O110+O111+O112</f>
        <v>-313.09999999999997</v>
      </c>
      <c r="P114" s="9">
        <f t="shared" si="197"/>
        <v>-487.40000000000015</v>
      </c>
      <c r="Q114" s="9">
        <f t="shared" si="197"/>
        <v>202.49999999999997</v>
      </c>
      <c r="R114" s="9">
        <f t="shared" si="197"/>
        <v>78.899999999999949</v>
      </c>
      <c r="S114" s="9">
        <f>S110-S113</f>
        <v>752.00000000000011</v>
      </c>
      <c r="T114" s="9">
        <f t="shared" ref="T114:Z114" si="198">T110-T113</f>
        <v>498.60000000000019</v>
      </c>
      <c r="U114" s="9">
        <f t="shared" si="198"/>
        <v>-116.0000000000006</v>
      </c>
      <c r="V114" s="9">
        <f t="shared" si="198"/>
        <v>-701.4</v>
      </c>
      <c r="W114" s="9">
        <f t="shared" si="198"/>
        <v>-2780.5999999999995</v>
      </c>
      <c r="X114" s="9">
        <f t="shared" si="198"/>
        <v>-1062.7000000000003</v>
      </c>
      <c r="Y114" s="9">
        <f t="shared" si="198"/>
        <v>-432.50000000000011</v>
      </c>
      <c r="Z114" s="9">
        <f t="shared" si="198"/>
        <v>-623.10000000000025</v>
      </c>
      <c r="AA114" s="9"/>
      <c r="AB114" s="9"/>
      <c r="AC114" s="9"/>
      <c r="AD114" s="9"/>
      <c r="AI114" s="9">
        <f t="shared" ref="AI114:AK114" si="199">AI110-AI113</f>
        <v>-382.00000000000045</v>
      </c>
      <c r="AJ114" s="9">
        <f t="shared" si="199"/>
        <v>2327.0000000000009</v>
      </c>
      <c r="AK114" s="9">
        <f t="shared" si="199"/>
        <v>967.60000000000105</v>
      </c>
      <c r="AL114" s="9">
        <f t="shared" ref="AL114" si="200">AL110-AL113</f>
        <v>433.20000000000186</v>
      </c>
      <c r="AM114" s="9">
        <f t="shared" ref="AM114" si="201">AM110-AM113</f>
        <v>-4898.8999999999978</v>
      </c>
      <c r="AN114" s="9">
        <f t="shared" ref="AN114" si="202">AN110-AN113</f>
        <v>3033.2130159999997</v>
      </c>
      <c r="AO114" s="9">
        <f t="shared" ref="AO114" si="203">AO110-AO113</f>
        <v>3759.1295359499982</v>
      </c>
      <c r="AP114" s="9">
        <f t="shared" ref="AP114" si="204">AP110-AP113</f>
        <v>4258.6597668532995</v>
      </c>
      <c r="AQ114" s="9">
        <f t="shared" ref="AQ114" si="205">AQ110-AQ113</f>
        <v>4669.6974984781646</v>
      </c>
      <c r="AR114" s="9">
        <f t="shared" ref="AR114" si="206">AR110-AR113</f>
        <v>4976.9343283702565</v>
      </c>
      <c r="AS114" s="9">
        <f t="shared" ref="AS114" si="207">AS110-AS113</f>
        <v>5256.0145358025038</v>
      </c>
      <c r="AT114" s="9">
        <f t="shared" ref="AT114" si="208">AT110-AT113</f>
        <v>5463.3048387578392</v>
      </c>
      <c r="AU114" s="9">
        <f t="shared" ref="AU114" si="209">AU110-AU113</f>
        <v>5605.5803498884006</v>
      </c>
      <c r="AV114" s="9">
        <f t="shared" ref="AV114" si="210">AV110-AV113</f>
        <v>5731.3455200283397</v>
      </c>
      <c r="AW114" s="9">
        <f t="shared" ref="AW114" si="211">AW110-AW113</f>
        <v>5842.1362318102674</v>
      </c>
      <c r="AX114" s="9">
        <f t="shared" ref="AX114" si="212">AX110-AX113</f>
        <v>5939.3293821165062</v>
      </c>
      <c r="AY114" s="7">
        <f>AX114*(1+$BC$23)</f>
        <v>5879.9360882953415</v>
      </c>
      <c r="AZ114" s="7">
        <f t="shared" ref="AZ114:DK114" si="213">AY114*(1+$BC$23)</f>
        <v>5821.1367274123877</v>
      </c>
      <c r="BA114" s="7">
        <f t="shared" si="213"/>
        <v>5762.9253601382634</v>
      </c>
      <c r="BB114" s="7">
        <f t="shared" si="213"/>
        <v>5705.2961065368809</v>
      </c>
      <c r="BC114" s="7">
        <f t="shared" si="213"/>
        <v>5648.2431454715124</v>
      </c>
      <c r="BD114" s="7">
        <f t="shared" si="213"/>
        <v>5591.7607140167975</v>
      </c>
      <c r="BE114" s="7">
        <f t="shared" si="213"/>
        <v>5535.8431068766295</v>
      </c>
      <c r="BF114" s="7">
        <f t="shared" si="213"/>
        <v>5480.4846758078629</v>
      </c>
      <c r="BG114" s="7">
        <f t="shared" si="213"/>
        <v>5425.6798290497845</v>
      </c>
      <c r="BH114" s="7">
        <f t="shared" si="213"/>
        <v>5371.423030759287</v>
      </c>
      <c r="BI114" s="7">
        <f t="shared" si="213"/>
        <v>5317.7088004516945</v>
      </c>
      <c r="BJ114" s="7">
        <f t="shared" si="213"/>
        <v>5264.5317124471776</v>
      </c>
      <c r="BK114" s="7">
        <f t="shared" si="213"/>
        <v>5211.8863953227055</v>
      </c>
      <c r="BL114" s="7">
        <f t="shared" si="213"/>
        <v>5159.7675313694781</v>
      </c>
      <c r="BM114" s="7">
        <f t="shared" si="213"/>
        <v>5108.1698560557834</v>
      </c>
      <c r="BN114" s="7">
        <f t="shared" si="213"/>
        <v>5057.0881574952255</v>
      </c>
      <c r="BO114" s="7">
        <f t="shared" si="213"/>
        <v>5006.5172759202733</v>
      </c>
      <c r="BP114" s="7">
        <f t="shared" si="213"/>
        <v>4956.4521031610702</v>
      </c>
      <c r="BQ114" s="7">
        <f t="shared" si="213"/>
        <v>4906.8875821294596</v>
      </c>
      <c r="BR114" s="7">
        <f t="shared" si="213"/>
        <v>4857.818706308165</v>
      </c>
      <c r="BS114" s="7">
        <f t="shared" si="213"/>
        <v>4809.2405192450833</v>
      </c>
      <c r="BT114" s="7">
        <f t="shared" si="213"/>
        <v>4761.1481140526321</v>
      </c>
      <c r="BU114" s="7">
        <f t="shared" si="213"/>
        <v>4713.5366329121061</v>
      </c>
      <c r="BV114" s="7">
        <f t="shared" si="213"/>
        <v>4666.401266582985</v>
      </c>
      <c r="BW114" s="7">
        <f t="shared" si="213"/>
        <v>4619.7372539171547</v>
      </c>
      <c r="BX114" s="7">
        <f t="shared" si="213"/>
        <v>4573.539881377983</v>
      </c>
      <c r="BY114" s="7">
        <f t="shared" si="213"/>
        <v>4527.8044825642028</v>
      </c>
      <c r="BZ114" s="7">
        <f t="shared" si="213"/>
        <v>4482.5264377385611</v>
      </c>
      <c r="CA114" s="7">
        <f t="shared" si="213"/>
        <v>4437.7011733611753</v>
      </c>
      <c r="CB114" s="7">
        <f t="shared" si="213"/>
        <v>4393.3241616275636</v>
      </c>
      <c r="CC114" s="7">
        <f t="shared" si="213"/>
        <v>4349.3909200112876</v>
      </c>
      <c r="CD114" s="7">
        <f t="shared" si="213"/>
        <v>4305.8970108111744</v>
      </c>
      <c r="CE114" s="7">
        <f t="shared" si="213"/>
        <v>4262.8380407030627</v>
      </c>
      <c r="CF114" s="7">
        <f t="shared" si="213"/>
        <v>4220.2096602960319</v>
      </c>
      <c r="CG114" s="7">
        <f t="shared" si="213"/>
        <v>4178.0075636930715</v>
      </c>
      <c r="CH114" s="7">
        <f t="shared" si="213"/>
        <v>4136.2274880561408</v>
      </c>
      <c r="CI114" s="7">
        <f t="shared" si="213"/>
        <v>4094.8652131755794</v>
      </c>
      <c r="CJ114" s="7">
        <f t="shared" si="213"/>
        <v>4053.9165610438235</v>
      </c>
      <c r="CK114" s="7">
        <f t="shared" si="213"/>
        <v>4013.3773954333851</v>
      </c>
      <c r="CL114" s="7">
        <f t="shared" si="213"/>
        <v>3973.2436214790514</v>
      </c>
      <c r="CM114" s="7">
        <f t="shared" si="213"/>
        <v>3933.5111852642608</v>
      </c>
      <c r="CN114" s="7">
        <f t="shared" si="213"/>
        <v>3894.1760734116183</v>
      </c>
      <c r="CO114" s="7">
        <f t="shared" si="213"/>
        <v>3855.2343126775022</v>
      </c>
      <c r="CP114" s="7">
        <f t="shared" si="213"/>
        <v>3816.681969550727</v>
      </c>
      <c r="CQ114" s="7">
        <f t="shared" si="213"/>
        <v>3778.5151498552195</v>
      </c>
      <c r="CR114" s="7">
        <f t="shared" si="213"/>
        <v>3740.7299983566672</v>
      </c>
      <c r="CS114" s="7">
        <f t="shared" si="213"/>
        <v>3703.3226983731006</v>
      </c>
      <c r="CT114" s="7">
        <f t="shared" si="213"/>
        <v>3666.2894713893697</v>
      </c>
      <c r="CU114" s="7">
        <f t="shared" si="213"/>
        <v>3629.6265766754759</v>
      </c>
      <c r="CV114" s="7">
        <f t="shared" si="213"/>
        <v>3593.330310908721</v>
      </c>
      <c r="CW114" s="7">
        <f t="shared" si="213"/>
        <v>3557.3970077996337</v>
      </c>
      <c r="CX114" s="7">
        <f t="shared" si="213"/>
        <v>3521.8230377216373</v>
      </c>
      <c r="CY114" s="7">
        <f t="shared" si="213"/>
        <v>3486.6048073444208</v>
      </c>
      <c r="CZ114" s="7">
        <f t="shared" si="213"/>
        <v>3451.7387592709765</v>
      </c>
      <c r="DA114" s="7">
        <f t="shared" si="213"/>
        <v>3417.2213716782667</v>
      </c>
      <c r="DB114" s="7">
        <f t="shared" si="213"/>
        <v>3383.0491579614841</v>
      </c>
      <c r="DC114" s="7">
        <f t="shared" si="213"/>
        <v>3349.2186663818693</v>
      </c>
      <c r="DD114" s="7">
        <f t="shared" si="213"/>
        <v>3315.7264797180505</v>
      </c>
      <c r="DE114" s="7">
        <f t="shared" si="213"/>
        <v>3282.5692149208699</v>
      </c>
      <c r="DF114" s="7">
        <f t="shared" si="213"/>
        <v>3249.743522771661</v>
      </c>
      <c r="DG114" s="7">
        <f t="shared" si="213"/>
        <v>3217.2460875439442</v>
      </c>
      <c r="DH114" s="7">
        <f t="shared" si="213"/>
        <v>3185.0736266685049</v>
      </c>
      <c r="DI114" s="7">
        <f t="shared" si="213"/>
        <v>3153.2228904018198</v>
      </c>
      <c r="DJ114" s="7">
        <f t="shared" si="213"/>
        <v>3121.6906614978016</v>
      </c>
      <c r="DK114" s="7">
        <f t="shared" si="213"/>
        <v>3090.4737548828234</v>
      </c>
      <c r="DL114" s="7">
        <f t="shared" ref="DL114:ER114" si="214">DK114*(1+$BC$23)</f>
        <v>3059.5690173339954</v>
      </c>
      <c r="DM114" s="7">
        <f t="shared" si="214"/>
        <v>3028.9733271606556</v>
      </c>
      <c r="DN114" s="7">
        <f t="shared" si="214"/>
        <v>2998.683593889049</v>
      </c>
      <c r="DO114" s="7">
        <f t="shared" si="214"/>
        <v>2968.6967579501584</v>
      </c>
      <c r="DP114" s="7">
        <f t="shared" si="214"/>
        <v>2939.0097903706569</v>
      </c>
      <c r="DQ114" s="7">
        <f t="shared" si="214"/>
        <v>2909.6196924669503</v>
      </c>
      <c r="DR114" s="7">
        <f t="shared" si="214"/>
        <v>2880.5234955422807</v>
      </c>
      <c r="DS114" s="7">
        <f t="shared" si="214"/>
        <v>2851.7182605868579</v>
      </c>
      <c r="DT114" s="7">
        <f t="shared" si="214"/>
        <v>2823.2010779809893</v>
      </c>
      <c r="DU114" s="7">
        <f t="shared" si="214"/>
        <v>2794.9690672011793</v>
      </c>
      <c r="DV114" s="7">
        <f t="shared" si="214"/>
        <v>2767.0193765291674</v>
      </c>
      <c r="DW114" s="7">
        <f t="shared" si="214"/>
        <v>2739.3491827638759</v>
      </c>
      <c r="DX114" s="7">
        <f t="shared" si="214"/>
        <v>2711.9556909362373</v>
      </c>
      <c r="DY114" s="7">
        <f t="shared" si="214"/>
        <v>2684.8361340268748</v>
      </c>
      <c r="DZ114" s="7">
        <f t="shared" si="214"/>
        <v>2657.9877726866061</v>
      </c>
      <c r="EA114" s="7">
        <f t="shared" si="214"/>
        <v>2631.4078949597401</v>
      </c>
      <c r="EB114" s="7">
        <f t="shared" si="214"/>
        <v>2605.0938160101427</v>
      </c>
      <c r="EC114" s="7">
        <f t="shared" si="214"/>
        <v>2579.0428778500414</v>
      </c>
      <c r="ED114" s="7">
        <f t="shared" si="214"/>
        <v>2553.2524490715409</v>
      </c>
      <c r="EE114" s="7">
        <f t="shared" si="214"/>
        <v>2527.7199245808256</v>
      </c>
      <c r="EF114" s="7">
        <f t="shared" si="214"/>
        <v>2502.4427253350173</v>
      </c>
      <c r="EG114" s="7">
        <f t="shared" si="214"/>
        <v>2477.4182980816672</v>
      </c>
      <c r="EH114" s="7">
        <f t="shared" si="214"/>
        <v>2452.6441151008507</v>
      </c>
      <c r="EI114" s="7">
        <f t="shared" si="214"/>
        <v>2428.1176739498424</v>
      </c>
      <c r="EJ114" s="7">
        <f t="shared" si="214"/>
        <v>2403.8364972103441</v>
      </c>
      <c r="EK114" s="7">
        <f t="shared" si="214"/>
        <v>2379.7981322382407</v>
      </c>
      <c r="EL114" s="7">
        <f t="shared" si="214"/>
        <v>2356.0001509158583</v>
      </c>
      <c r="EM114" s="7">
        <f t="shared" si="214"/>
        <v>2332.4401494066997</v>
      </c>
      <c r="EN114" s="7">
        <f t="shared" si="214"/>
        <v>2309.1157479126327</v>
      </c>
      <c r="EO114" s="7">
        <f t="shared" si="214"/>
        <v>2286.0245904335065</v>
      </c>
      <c r="EP114" s="7">
        <f t="shared" si="214"/>
        <v>2263.1643445291716</v>
      </c>
      <c r="EQ114" s="7">
        <f t="shared" si="214"/>
        <v>2240.5327010838796</v>
      </c>
      <c r="ER114" s="7">
        <f t="shared" si="214"/>
        <v>2218.1273740730408</v>
      </c>
    </row>
    <row r="115" spans="2:148" x14ac:dyDescent="0.3">
      <c r="BA115" s="10"/>
    </row>
    <row r="116" spans="2:148" x14ac:dyDescent="0.3">
      <c r="W116" s="10">
        <f t="shared" ref="W116:Y116" si="215">W111/S111-1</f>
        <v>-0.46929180135174853</v>
      </c>
      <c r="X116" s="10">
        <f t="shared" si="215"/>
        <v>7.1865443425076503E-2</v>
      </c>
      <c r="Y116" s="10">
        <f t="shared" si="215"/>
        <v>2.0777576853526258</v>
      </c>
      <c r="Z116" s="10">
        <f>Z111/V111-1</f>
        <v>0.40858725761772763</v>
      </c>
      <c r="BA116" s="10"/>
    </row>
    <row r="117" spans="2:148" x14ac:dyDescent="0.3">
      <c r="W117" s="10">
        <f t="shared" ref="W117:Z117" si="216">W112/S112-1</f>
        <v>0.65571616294349555</v>
      </c>
      <c r="X117" s="10">
        <f t="shared" si="216"/>
        <v>-1.2499999999999956E-2</v>
      </c>
      <c r="Y117" s="10">
        <f t="shared" si="216"/>
        <v>5.6151940545003942E-2</v>
      </c>
      <c r="Z117" s="10">
        <f t="shared" si="216"/>
        <v>-0.15542938254080907</v>
      </c>
      <c r="BA117" s="10"/>
    </row>
    <row r="118" spans="2:148" x14ac:dyDescent="0.3">
      <c r="AZ118" t="s">
        <v>122</v>
      </c>
      <c r="BA118" s="14">
        <f>NPV(BC24,AN114:ER114)</f>
        <v>31832.125734523866</v>
      </c>
    </row>
    <row r="119" spans="2:148" x14ac:dyDescent="0.3">
      <c r="AZ119" t="s">
        <v>70</v>
      </c>
      <c r="BA119" s="1">
        <f>BA118/Main!D13</f>
        <v>5624.0504831314247</v>
      </c>
    </row>
    <row r="120" spans="2:148" x14ac:dyDescent="0.3">
      <c r="B120" t="s">
        <v>120</v>
      </c>
      <c r="O120" s="1">
        <f>O80</f>
        <v>-313.09999999999997</v>
      </c>
      <c r="P120" s="1">
        <f>P80+O80</f>
        <v>-800.50000000000011</v>
      </c>
      <c r="Q120" s="1">
        <f>Q80+P80+O80</f>
        <v>-598.00000000000023</v>
      </c>
      <c r="R120" s="1">
        <f>R80+Q80+P80+O80</f>
        <v>-519.10000000000014</v>
      </c>
      <c r="S120" s="1">
        <f>S80</f>
        <v>225.69999999999996</v>
      </c>
      <c r="T120" s="1">
        <f>T80+S80</f>
        <v>531.19999999999982</v>
      </c>
      <c r="U120" s="1">
        <f>U80+T80+S80</f>
        <v>939.89999999999986</v>
      </c>
      <c r="V120" s="1">
        <f>V80+U80+T80+S80</f>
        <v>1596.1999999999998</v>
      </c>
      <c r="W120" s="1">
        <f>W80</f>
        <v>372.79999999999967</v>
      </c>
      <c r="X120" s="1">
        <f>X80+W80</f>
        <v>868.89999999999964</v>
      </c>
      <c r="Y120" s="1">
        <f>Y80+X80+W80</f>
        <v>1408.6999999999996</v>
      </c>
      <c r="Z120" s="1">
        <f>Z80+Y80+X80+W80</f>
        <v>-1513.2000000000007</v>
      </c>
      <c r="AA120" s="1"/>
      <c r="AB120" s="1"/>
      <c r="AC120" s="1"/>
      <c r="AD120" s="1"/>
      <c r="AZ120" t="s">
        <v>65</v>
      </c>
      <c r="BA120" s="1">
        <f>Main!D10</f>
        <v>-1257.5441696113076</v>
      </c>
    </row>
    <row r="121" spans="2:148" x14ac:dyDescent="0.3">
      <c r="B121" t="s">
        <v>107</v>
      </c>
      <c r="R121">
        <v>800.3</v>
      </c>
      <c r="T121">
        <v>434.2</v>
      </c>
      <c r="U121">
        <v>657.1</v>
      </c>
      <c r="V121">
        <v>878.2</v>
      </c>
      <c r="X121">
        <v>441.6</v>
      </c>
      <c r="Y121">
        <v>705.4</v>
      </c>
      <c r="AZ121" t="s">
        <v>66</v>
      </c>
      <c r="BA121" s="1">
        <f>BA119+BA120</f>
        <v>4366.5063135201171</v>
      </c>
    </row>
    <row r="122" spans="2:148" x14ac:dyDescent="0.3">
      <c r="B122" t="s">
        <v>81</v>
      </c>
      <c r="R122">
        <v>-153.1</v>
      </c>
      <c r="T122">
        <v>78.400000000000006</v>
      </c>
      <c r="U122">
        <v>35.4</v>
      </c>
      <c r="V122">
        <v>24.6</v>
      </c>
      <c r="X122">
        <v>6.6</v>
      </c>
      <c r="Y122">
        <v>21</v>
      </c>
      <c r="AZ122" t="s">
        <v>67</v>
      </c>
      <c r="BA122" s="2">
        <f>BA121/AX19</f>
        <v>14.897667395155636</v>
      </c>
    </row>
    <row r="123" spans="2:148" x14ac:dyDescent="0.3">
      <c r="B123" t="s">
        <v>74</v>
      </c>
      <c r="R123">
        <v>3.6</v>
      </c>
      <c r="T123">
        <v>1.8</v>
      </c>
      <c r="U123">
        <v>2.4</v>
      </c>
      <c r="V123">
        <v>4.2</v>
      </c>
      <c r="X123">
        <v>0.1</v>
      </c>
      <c r="Y123">
        <v>-0.3</v>
      </c>
      <c r="AZ123" t="s">
        <v>68</v>
      </c>
      <c r="BA123" s="2">
        <f>Main!D3</f>
        <v>13.77</v>
      </c>
    </row>
    <row r="124" spans="2:148" x14ac:dyDescent="0.3">
      <c r="B124" t="s">
        <v>108</v>
      </c>
      <c r="R124">
        <v>-382.7</v>
      </c>
      <c r="T124">
        <v>-175.8</v>
      </c>
      <c r="U124">
        <v>-207.2</v>
      </c>
      <c r="V124">
        <v>-195.4</v>
      </c>
      <c r="X124">
        <v>70.599999999999994</v>
      </c>
      <c r="Y124">
        <v>97.2</v>
      </c>
      <c r="AZ124" s="7" t="s">
        <v>69</v>
      </c>
      <c r="BA124" s="11">
        <f>BA122/BA123-1</f>
        <v>8.189305701929106E-2</v>
      </c>
    </row>
    <row r="125" spans="2:148" x14ac:dyDescent="0.3">
      <c r="B125" t="s">
        <v>97</v>
      </c>
      <c r="R125">
        <v>18.8</v>
      </c>
      <c r="T125">
        <v>5.0999999999999996</v>
      </c>
      <c r="U125">
        <v>26.5</v>
      </c>
      <c r="V125">
        <v>5.8</v>
      </c>
      <c r="X125">
        <v>40</v>
      </c>
      <c r="Y125">
        <v>64.5</v>
      </c>
    </row>
    <row r="126" spans="2:148" x14ac:dyDescent="0.3">
      <c r="B126" t="s">
        <v>109</v>
      </c>
      <c r="R126">
        <v>213.1</v>
      </c>
      <c r="T126">
        <v>120.5</v>
      </c>
      <c r="U126">
        <v>181.6</v>
      </c>
      <c r="V126">
        <v>251.2</v>
      </c>
      <c r="X126">
        <v>90.2</v>
      </c>
      <c r="Y126">
        <v>158.4</v>
      </c>
    </row>
    <row r="127" spans="2:148" x14ac:dyDescent="0.3">
      <c r="B127" t="s">
        <v>110</v>
      </c>
      <c r="R127">
        <v>88.6</v>
      </c>
      <c r="T127">
        <v>32.5</v>
      </c>
      <c r="U127">
        <v>99.6</v>
      </c>
      <c r="V127">
        <v>160.19999999999999</v>
      </c>
      <c r="X127">
        <v>102.5</v>
      </c>
      <c r="Y127">
        <v>119</v>
      </c>
    </row>
    <row r="128" spans="2:148" x14ac:dyDescent="0.3">
      <c r="B128" t="s">
        <v>88</v>
      </c>
      <c r="R128">
        <v>25.3</v>
      </c>
      <c r="T128">
        <v>45.1</v>
      </c>
      <c r="U128">
        <v>53.2</v>
      </c>
      <c r="V128">
        <v>66.2</v>
      </c>
      <c r="X128">
        <v>14.3</v>
      </c>
      <c r="Y128">
        <v>5.8</v>
      </c>
    </row>
    <row r="129" spans="2:25" x14ac:dyDescent="0.3">
      <c r="B129" t="s">
        <v>111</v>
      </c>
      <c r="R129">
        <v>3.9</v>
      </c>
      <c r="T129">
        <v>1.2</v>
      </c>
      <c r="U129">
        <v>2.4</v>
      </c>
      <c r="V129">
        <v>3.7</v>
      </c>
      <c r="X129">
        <v>2.8</v>
      </c>
      <c r="Y129">
        <v>3.8</v>
      </c>
    </row>
    <row r="130" spans="2:25" x14ac:dyDescent="0.3">
      <c r="B130" t="s">
        <v>112</v>
      </c>
      <c r="R130">
        <v>20.3</v>
      </c>
      <c r="T130">
        <v>0</v>
      </c>
      <c r="U130">
        <v>0</v>
      </c>
      <c r="V130">
        <v>10.9</v>
      </c>
      <c r="X130">
        <v>53</v>
      </c>
      <c r="Y130">
        <v>53</v>
      </c>
    </row>
    <row r="131" spans="2:25" x14ac:dyDescent="0.3">
      <c r="B131" t="s">
        <v>113</v>
      </c>
      <c r="R131">
        <v>1179.5</v>
      </c>
      <c r="T131">
        <v>94</v>
      </c>
      <c r="U131">
        <v>96.6</v>
      </c>
      <c r="V131">
        <v>96.6</v>
      </c>
      <c r="X131">
        <v>-206.6</v>
      </c>
      <c r="Y131">
        <v>-210.9</v>
      </c>
    </row>
    <row r="132" spans="2:25" x14ac:dyDescent="0.3">
      <c r="B132" t="s">
        <v>83</v>
      </c>
      <c r="R132">
        <v>90.8</v>
      </c>
      <c r="T132">
        <v>8.6</v>
      </c>
      <c r="U132">
        <v>13.1</v>
      </c>
      <c r="V132">
        <v>20.3</v>
      </c>
      <c r="X132">
        <v>7.2</v>
      </c>
      <c r="Y132">
        <v>252.6</v>
      </c>
    </row>
    <row r="133" spans="2:25" x14ac:dyDescent="0.3">
      <c r="B133" t="s">
        <v>114</v>
      </c>
      <c r="R133">
        <v>0</v>
      </c>
      <c r="T133">
        <v>0</v>
      </c>
      <c r="U133">
        <v>0</v>
      </c>
      <c r="V133">
        <v>0</v>
      </c>
      <c r="X133">
        <v>-5.7</v>
      </c>
      <c r="Y133">
        <v>-7.5</v>
      </c>
    </row>
    <row r="134" spans="2:25" x14ac:dyDescent="0.3">
      <c r="B134" t="s">
        <v>115</v>
      </c>
      <c r="R134">
        <v>0</v>
      </c>
      <c r="T134">
        <v>1.2</v>
      </c>
      <c r="U134">
        <v>1.2</v>
      </c>
      <c r="V134">
        <v>1.2</v>
      </c>
      <c r="X134">
        <v>0</v>
      </c>
      <c r="Y134">
        <v>0</v>
      </c>
    </row>
    <row r="135" spans="2:25" x14ac:dyDescent="0.3">
      <c r="B135" t="s">
        <v>76</v>
      </c>
      <c r="R135">
        <v>740.2</v>
      </c>
      <c r="T135">
        <v>3900.8</v>
      </c>
      <c r="U135">
        <v>2187.1</v>
      </c>
      <c r="V135">
        <v>32.299999999999997</v>
      </c>
      <c r="X135">
        <v>-2358.9</v>
      </c>
      <c r="Y135">
        <v>-505.4</v>
      </c>
    </row>
    <row r="136" spans="2:25" x14ac:dyDescent="0.3">
      <c r="B136" t="s">
        <v>85</v>
      </c>
      <c r="R136">
        <v>12.9</v>
      </c>
      <c r="T136">
        <v>11.6</v>
      </c>
      <c r="U136">
        <v>12</v>
      </c>
      <c r="V136">
        <v>20.3</v>
      </c>
      <c r="X136">
        <v>7.7</v>
      </c>
      <c r="Y136">
        <v>23.5</v>
      </c>
    </row>
    <row r="137" spans="2:25" x14ac:dyDescent="0.3">
      <c r="B137" t="s">
        <v>50</v>
      </c>
      <c r="R137">
        <v>261.89999999999998</v>
      </c>
      <c r="T137">
        <v>-60.1</v>
      </c>
      <c r="U137">
        <v>156.5</v>
      </c>
      <c r="V137">
        <v>139</v>
      </c>
      <c r="X137">
        <v>-8.8000000000000007</v>
      </c>
      <c r="Y137">
        <v>-28.1</v>
      </c>
    </row>
    <row r="138" spans="2:25" x14ac:dyDescent="0.3">
      <c r="B138" t="s">
        <v>82</v>
      </c>
      <c r="R138">
        <v>153</v>
      </c>
      <c r="T138">
        <v>46.6</v>
      </c>
      <c r="U138">
        <v>66.7</v>
      </c>
      <c r="V138">
        <v>41.3</v>
      </c>
      <c r="X138">
        <v>68.400000000000006</v>
      </c>
      <c r="Y138">
        <v>87.9</v>
      </c>
    </row>
    <row r="139" spans="2:25" x14ac:dyDescent="0.3">
      <c r="B139" t="s">
        <v>79</v>
      </c>
      <c r="R139">
        <v>707.5</v>
      </c>
      <c r="T139">
        <v>-10.5</v>
      </c>
      <c r="U139">
        <v>44.8</v>
      </c>
      <c r="V139">
        <v>205.1</v>
      </c>
      <c r="X139">
        <v>-14.7</v>
      </c>
      <c r="Y139">
        <v>-28.8</v>
      </c>
    </row>
    <row r="140" spans="2:25" x14ac:dyDescent="0.3">
      <c r="B140" t="s">
        <v>80</v>
      </c>
      <c r="R140">
        <v>0</v>
      </c>
      <c r="T140">
        <v>0</v>
      </c>
      <c r="U140">
        <v>0</v>
      </c>
      <c r="V140">
        <v>-312.8</v>
      </c>
      <c r="X140">
        <v>-314.39999999999998</v>
      </c>
      <c r="Y140">
        <v>-463.6</v>
      </c>
    </row>
    <row r="141" spans="2:25" x14ac:dyDescent="0.3">
      <c r="B141" t="s">
        <v>91</v>
      </c>
      <c r="R141">
        <v>-3633.9</v>
      </c>
      <c r="T141">
        <v>-3794.5</v>
      </c>
      <c r="U141">
        <v>-3641.3</v>
      </c>
      <c r="V141">
        <v>-3382.1</v>
      </c>
      <c r="X141">
        <v>-4016.7</v>
      </c>
      <c r="Y141">
        <v>-7698.7</v>
      </c>
    </row>
    <row r="142" spans="2:25" x14ac:dyDescent="0.3">
      <c r="B142" t="s">
        <v>50</v>
      </c>
      <c r="R142">
        <v>137.80000000000001</v>
      </c>
      <c r="T142">
        <v>92.6</v>
      </c>
      <c r="U142">
        <v>66.5</v>
      </c>
      <c r="V142">
        <v>169.8</v>
      </c>
      <c r="X142">
        <v>210.3</v>
      </c>
      <c r="Y142">
        <v>-164.5</v>
      </c>
    </row>
    <row r="143" spans="2:25" x14ac:dyDescent="0.3">
      <c r="B143" t="s">
        <v>95</v>
      </c>
      <c r="R143">
        <v>171.3</v>
      </c>
      <c r="T143">
        <v>-7.6</v>
      </c>
      <c r="U143">
        <v>66.599999999999994</v>
      </c>
      <c r="V143">
        <v>19.3</v>
      </c>
      <c r="X143">
        <v>-31.5</v>
      </c>
      <c r="Y143">
        <v>57.2</v>
      </c>
    </row>
    <row r="144" spans="2:25" x14ac:dyDescent="0.3">
      <c r="B144" t="s">
        <v>97</v>
      </c>
      <c r="R144">
        <v>-9.8000000000000007</v>
      </c>
      <c r="T144">
        <v>-16.899999999999999</v>
      </c>
      <c r="U144">
        <v>-27.8</v>
      </c>
      <c r="V144">
        <v>-34</v>
      </c>
      <c r="X144">
        <v>-29.6</v>
      </c>
      <c r="Y144">
        <v>-44.9</v>
      </c>
    </row>
    <row r="145" spans="2:25" x14ac:dyDescent="0.3">
      <c r="B145" t="s">
        <v>92</v>
      </c>
      <c r="R145">
        <v>323.60000000000002</v>
      </c>
      <c r="T145">
        <v>-2.1</v>
      </c>
      <c r="U145">
        <v>-34.799999999999997</v>
      </c>
      <c r="V145">
        <v>-80</v>
      </c>
      <c r="X145">
        <v>160.80000000000001</v>
      </c>
      <c r="Y145">
        <v>224.9</v>
      </c>
    </row>
    <row r="146" spans="2:25" x14ac:dyDescent="0.3">
      <c r="B146" t="s">
        <v>116</v>
      </c>
      <c r="R146">
        <v>-430.4</v>
      </c>
      <c r="T146">
        <v>-437.1</v>
      </c>
      <c r="U146">
        <v>-480.2</v>
      </c>
      <c r="V146">
        <v>-749.4</v>
      </c>
      <c r="X146">
        <v>-313.5</v>
      </c>
      <c r="Y146">
        <v>-579.79999999999995</v>
      </c>
    </row>
    <row r="147" spans="2:25" x14ac:dyDescent="0.3">
      <c r="B147" t="s">
        <v>117</v>
      </c>
      <c r="R147">
        <v>2058.6999999999998</v>
      </c>
      <c r="T147">
        <v>1145.7</v>
      </c>
      <c r="U147">
        <v>1825</v>
      </c>
      <c r="V147">
        <v>2766.9</v>
      </c>
      <c r="X147">
        <v>2038.9</v>
      </c>
      <c r="Y147">
        <v>3242.7</v>
      </c>
    </row>
    <row r="148" spans="2:25" x14ac:dyDescent="0.3">
      <c r="B148" t="s">
        <v>50</v>
      </c>
      <c r="R148">
        <v>-191.1</v>
      </c>
      <c r="T148">
        <v>-47.3</v>
      </c>
      <c r="U148">
        <v>-83.3</v>
      </c>
      <c r="V148">
        <v>-116.1</v>
      </c>
      <c r="X148">
        <v>-75.599999999999994</v>
      </c>
      <c r="Y148">
        <v>-119.6</v>
      </c>
    </row>
    <row r="149" spans="2:25" x14ac:dyDescent="0.3">
      <c r="B149" t="s">
        <v>121</v>
      </c>
      <c r="O149" s="1"/>
      <c r="P149" s="1">
        <f t="shared" ref="P149:V149" si="217">P120+SUM(P121:P148)</f>
        <v>-800.50000000000011</v>
      </c>
      <c r="Q149" s="1">
        <f t="shared" si="217"/>
        <v>-598.00000000000023</v>
      </c>
      <c r="R149" s="1">
        <f t="shared" si="217"/>
        <v>1690.9999999999998</v>
      </c>
      <c r="S149" s="1"/>
      <c r="T149" s="1">
        <f t="shared" si="217"/>
        <v>1999.2000000000005</v>
      </c>
      <c r="U149" s="1">
        <f t="shared" si="217"/>
        <v>2059.5999999999995</v>
      </c>
      <c r="V149" s="1">
        <f t="shared" si="217"/>
        <v>1643.5</v>
      </c>
      <c r="W149" s="1"/>
      <c r="X149" s="1">
        <f>X120+SUM(X121:X148)</f>
        <v>-3192.0999999999995</v>
      </c>
      <c r="Y149" s="1">
        <f>Y120+SUM(Y121:Y148)</f>
        <v>-3326.5000000000009</v>
      </c>
    </row>
    <row r="150" spans="2:25" x14ac:dyDescent="0.3">
      <c r="B150" t="s">
        <v>88</v>
      </c>
      <c r="R150">
        <v>417.7</v>
      </c>
      <c r="T150">
        <v>536.5</v>
      </c>
      <c r="U150">
        <v>591.79999999999995</v>
      </c>
      <c r="V150">
        <v>736.2</v>
      </c>
      <c r="X150">
        <v>390.9</v>
      </c>
      <c r="Y150">
        <v>561.1</v>
      </c>
    </row>
    <row r="151" spans="2:25" x14ac:dyDescent="0.3">
      <c r="B151" t="s">
        <v>89</v>
      </c>
      <c r="R151">
        <v>305.5</v>
      </c>
      <c r="T151">
        <v>212.1</v>
      </c>
      <c r="U151">
        <v>333.2</v>
      </c>
      <c r="V151">
        <v>474.1</v>
      </c>
      <c r="X151">
        <v>260.3</v>
      </c>
      <c r="Y151">
        <v>388.2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2024-06-23T09:56:20Z</dcterms:created>
  <dcterms:modified xsi:type="dcterms:W3CDTF">2025-05-03T13:23:54Z</dcterms:modified>
</cp:coreProperties>
</file>