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35E2611C-768A-4380-913C-CB0173000090}" xr6:coauthVersionLast="47" xr6:coauthVersionMax="47" xr10:uidLastSave="{00000000-0000-0000-0000-000000000000}"/>
  <bookViews>
    <workbookView xWindow="-108" yWindow="-108" windowWidth="23256" windowHeight="12576" xr2:uid="{0E0749A9-7B4C-463E-A44A-39D45725726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0" i="2" l="1"/>
  <c r="R10" i="2"/>
  <c r="Q10" i="2"/>
  <c r="R9" i="2"/>
  <c r="Q9" i="2"/>
  <c r="AJ19" i="2"/>
  <c r="AI19" i="2"/>
  <c r="AH19" i="2"/>
  <c r="AG19" i="2"/>
  <c r="AF19" i="2"/>
  <c r="AE19" i="2"/>
  <c r="AD19" i="2"/>
  <c r="AC19" i="2"/>
  <c r="AB19" i="2"/>
  <c r="AA19" i="2"/>
  <c r="Z19" i="2"/>
  <c r="R19" i="2"/>
  <c r="Q19" i="2"/>
  <c r="P19" i="2"/>
  <c r="P5" i="2"/>
  <c r="D7" i="1"/>
  <c r="D6" i="1"/>
  <c r="D4" i="1"/>
  <c r="R11" i="2"/>
  <c r="Z11" i="2" s="1"/>
  <c r="AA7" i="2"/>
  <c r="AB7" i="2" s="1"/>
  <c r="AC7" i="2" s="1"/>
  <c r="AD7" i="2" s="1"/>
  <c r="Z15" i="2"/>
  <c r="Z14" i="2"/>
  <c r="Z8" i="2"/>
  <c r="Z7" i="2"/>
  <c r="P28" i="2"/>
  <c r="R28" i="2"/>
  <c r="R27" i="2"/>
  <c r="P27" i="2"/>
  <c r="R8" i="2"/>
  <c r="Q8" i="2"/>
  <c r="Q26" i="2" s="1"/>
  <c r="R7" i="2"/>
  <c r="R25" i="2" s="1"/>
  <c r="Q7" i="2"/>
  <c r="P25" i="2"/>
  <c r="R6" i="2"/>
  <c r="R24" i="2" s="1"/>
  <c r="Q6" i="2"/>
  <c r="P24" i="2"/>
  <c r="R5" i="2"/>
  <c r="R4" i="2" s="1"/>
  <c r="Q5" i="2"/>
  <c r="Q4" i="2"/>
  <c r="R3" i="2"/>
  <c r="O12" i="2"/>
  <c r="O5" i="2"/>
  <c r="O19" i="2"/>
  <c r="D5" i="1"/>
  <c r="R29" i="2"/>
  <c r="Q29" i="2"/>
  <c r="P29" i="2"/>
  <c r="O29" i="2"/>
  <c r="O28" i="2"/>
  <c r="O27" i="2"/>
  <c r="P26" i="2"/>
  <c r="O26" i="2"/>
  <c r="Q25" i="2"/>
  <c r="O25" i="2"/>
  <c r="Q24" i="2"/>
  <c r="O24" i="2"/>
  <c r="Q23" i="2"/>
  <c r="R22" i="2"/>
  <c r="Q22" i="2"/>
  <c r="P22" i="2"/>
  <c r="O22" i="2"/>
  <c r="Q3" i="2"/>
  <c r="Y19" i="2"/>
  <c r="N19" i="2"/>
  <c r="N5" i="2"/>
  <c r="N23" i="2" s="1"/>
  <c r="N25" i="2"/>
  <c r="N28" i="2"/>
  <c r="M5" i="2"/>
  <c r="AN29" i="2"/>
  <c r="Y15" i="2"/>
  <c r="V25" i="2"/>
  <c r="U25" i="2"/>
  <c r="M25" i="2"/>
  <c r="L25" i="2"/>
  <c r="K25" i="2"/>
  <c r="J25" i="2"/>
  <c r="I25" i="2"/>
  <c r="H25" i="2"/>
  <c r="G25" i="2"/>
  <c r="M28" i="2"/>
  <c r="N27" i="2"/>
  <c r="V28" i="2"/>
  <c r="V27" i="2"/>
  <c r="U28" i="2"/>
  <c r="U27" i="2"/>
  <c r="V22" i="2"/>
  <c r="U22" i="2"/>
  <c r="V29" i="2"/>
  <c r="U29" i="2"/>
  <c r="T29" i="2"/>
  <c r="V26" i="2"/>
  <c r="U26" i="2"/>
  <c r="T26" i="2"/>
  <c r="V24" i="2"/>
  <c r="U24" i="2"/>
  <c r="T24" i="2"/>
  <c r="Y14" i="2"/>
  <c r="Y11" i="2"/>
  <c r="X17" i="2"/>
  <c r="X15" i="2"/>
  <c r="X14" i="2"/>
  <c r="X11" i="2"/>
  <c r="X10" i="2"/>
  <c r="X9" i="2"/>
  <c r="X8" i="2"/>
  <c r="X7" i="2"/>
  <c r="X25" i="2" s="1"/>
  <c r="X6" i="2"/>
  <c r="X4" i="2"/>
  <c r="X3" i="2"/>
  <c r="X19" i="2"/>
  <c r="W17" i="2"/>
  <c r="W15" i="2"/>
  <c r="W14" i="2"/>
  <c r="W11" i="2"/>
  <c r="W10" i="2"/>
  <c r="W28" i="2" s="1"/>
  <c r="W9" i="2"/>
  <c r="W27" i="2" s="1"/>
  <c r="W8" i="2"/>
  <c r="W7" i="2"/>
  <c r="W25" i="2" s="1"/>
  <c r="W6" i="2"/>
  <c r="W4" i="2"/>
  <c r="W3" i="2"/>
  <c r="W22" i="2" s="1"/>
  <c r="W19" i="2"/>
  <c r="V19" i="2"/>
  <c r="V12" i="2"/>
  <c r="V5" i="2"/>
  <c r="V23" i="2" s="1"/>
  <c r="U19" i="2"/>
  <c r="U12" i="2"/>
  <c r="U5" i="2"/>
  <c r="U23" i="2" s="1"/>
  <c r="T19" i="2"/>
  <c r="T12" i="2"/>
  <c r="T5" i="2"/>
  <c r="T23" i="2" s="1"/>
  <c r="L29" i="2"/>
  <c r="K29" i="2"/>
  <c r="J29" i="2"/>
  <c r="I29" i="2"/>
  <c r="H29" i="2"/>
  <c r="L28" i="2"/>
  <c r="K28" i="2"/>
  <c r="J28" i="2"/>
  <c r="I28" i="2"/>
  <c r="H28" i="2"/>
  <c r="L27" i="2"/>
  <c r="K27" i="2"/>
  <c r="J27" i="2"/>
  <c r="I27" i="2"/>
  <c r="H27" i="2"/>
  <c r="L26" i="2"/>
  <c r="K26" i="2"/>
  <c r="J26" i="2"/>
  <c r="I26" i="2"/>
  <c r="H26" i="2"/>
  <c r="L24" i="2"/>
  <c r="K24" i="2"/>
  <c r="J24" i="2"/>
  <c r="I24" i="2"/>
  <c r="H24" i="2"/>
  <c r="L22" i="2"/>
  <c r="K22" i="2"/>
  <c r="J22" i="2"/>
  <c r="I22" i="2"/>
  <c r="H22" i="2"/>
  <c r="F29" i="2"/>
  <c r="E29" i="2"/>
  <c r="D29" i="2"/>
  <c r="C29" i="2"/>
  <c r="F26" i="2"/>
  <c r="E26" i="2"/>
  <c r="D26" i="2"/>
  <c r="C26" i="2"/>
  <c r="F24" i="2"/>
  <c r="E24" i="2"/>
  <c r="D24" i="2"/>
  <c r="C24" i="2"/>
  <c r="G29" i="2"/>
  <c r="G28" i="2"/>
  <c r="G27" i="2"/>
  <c r="G26" i="2"/>
  <c r="G24" i="2"/>
  <c r="G22" i="2"/>
  <c r="C19" i="2"/>
  <c r="C12" i="2"/>
  <c r="C5" i="2"/>
  <c r="C23" i="2" s="1"/>
  <c r="D19" i="2"/>
  <c r="D12" i="2"/>
  <c r="D5" i="2"/>
  <c r="D23" i="2" s="1"/>
  <c r="E19" i="2"/>
  <c r="E12" i="2"/>
  <c r="E5" i="2"/>
  <c r="E23" i="2" s="1"/>
  <c r="I19" i="2"/>
  <c r="I12" i="2"/>
  <c r="I5" i="2"/>
  <c r="I23" i="2" s="1"/>
  <c r="F19" i="2"/>
  <c r="F12" i="2"/>
  <c r="F5" i="2"/>
  <c r="J19" i="2"/>
  <c r="J12" i="2"/>
  <c r="J5" i="2"/>
  <c r="J23" i="2" s="1"/>
  <c r="G19" i="2"/>
  <c r="G12" i="2"/>
  <c r="G5" i="2"/>
  <c r="G23" i="2" s="1"/>
  <c r="K19" i="2"/>
  <c r="K12" i="2"/>
  <c r="K5" i="2"/>
  <c r="K23" i="2" s="1"/>
  <c r="H19" i="2"/>
  <c r="H12" i="2"/>
  <c r="H5" i="2"/>
  <c r="H23" i="2" s="1"/>
  <c r="L19" i="2"/>
  <c r="L12" i="2"/>
  <c r="L5" i="2"/>
  <c r="L23" i="2" s="1"/>
  <c r="F3" i="1"/>
  <c r="Z10" i="2" l="1"/>
  <c r="Q28" i="2"/>
  <c r="Z9" i="2"/>
  <c r="Q12" i="2"/>
  <c r="Q13" i="2" s="1"/>
  <c r="Q30" i="2" s="1"/>
  <c r="Q27" i="2"/>
  <c r="AA14" i="2"/>
  <c r="AB14" i="2" s="1"/>
  <c r="AC14" i="2" s="1"/>
  <c r="AD14" i="2" s="1"/>
  <c r="AE14" i="2" s="1"/>
  <c r="AF14" i="2" s="1"/>
  <c r="AG14" i="2" s="1"/>
  <c r="AH14" i="2" s="1"/>
  <c r="AI14" i="2" s="1"/>
  <c r="AJ14" i="2" s="1"/>
  <c r="P12" i="2"/>
  <c r="P13" i="2" s="1"/>
  <c r="Z6" i="2"/>
  <c r="R12" i="2"/>
  <c r="R13" i="2" s="1"/>
  <c r="R16" i="2" s="1"/>
  <c r="AA15" i="2"/>
  <c r="AB15" i="2" s="1"/>
  <c r="R26" i="2"/>
  <c r="R23" i="2"/>
  <c r="Z3" i="2"/>
  <c r="O13" i="2"/>
  <c r="O16" i="2" s="1"/>
  <c r="O23" i="2"/>
  <c r="X27" i="2"/>
  <c r="X28" i="2"/>
  <c r="L13" i="2"/>
  <c r="L30" i="2" s="1"/>
  <c r="W26" i="2"/>
  <c r="X22" i="2"/>
  <c r="W24" i="2"/>
  <c r="X29" i="2"/>
  <c r="X24" i="2"/>
  <c r="W29" i="2"/>
  <c r="X26" i="2"/>
  <c r="M29" i="2"/>
  <c r="D8" i="1"/>
  <c r="AN26" i="2" s="1"/>
  <c r="Y6" i="2"/>
  <c r="Y10" i="2"/>
  <c r="Y9" i="2"/>
  <c r="M27" i="2"/>
  <c r="F13" i="2"/>
  <c r="X5" i="2"/>
  <c r="X23" i="2" s="1"/>
  <c r="F23" i="2"/>
  <c r="M23" i="2"/>
  <c r="N26" i="2"/>
  <c r="Y7" i="2"/>
  <c r="N24" i="2"/>
  <c r="Y3" i="2"/>
  <c r="N29" i="2"/>
  <c r="N22" i="2"/>
  <c r="M24" i="2"/>
  <c r="M22" i="2"/>
  <c r="X12" i="2"/>
  <c r="X13" i="2" s="1"/>
  <c r="W12" i="2"/>
  <c r="W5" i="2"/>
  <c r="W23" i="2" s="1"/>
  <c r="V13" i="2"/>
  <c r="U13" i="2"/>
  <c r="T13" i="2"/>
  <c r="C13" i="2"/>
  <c r="D13" i="2"/>
  <c r="E13" i="2"/>
  <c r="I13" i="2"/>
  <c r="J13" i="2"/>
  <c r="G13" i="2"/>
  <c r="K13" i="2"/>
  <c r="H13" i="2"/>
  <c r="Q16" i="2" l="1"/>
  <c r="Q17" i="2" s="1"/>
  <c r="Q18" i="2" s="1"/>
  <c r="R30" i="2"/>
  <c r="P30" i="2"/>
  <c r="P16" i="2"/>
  <c r="AA3" i="2"/>
  <c r="R17" i="2"/>
  <c r="O30" i="2"/>
  <c r="O31" i="2"/>
  <c r="O18" i="2"/>
  <c r="L16" i="2"/>
  <c r="Y24" i="2"/>
  <c r="Y8" i="2"/>
  <c r="Y26" i="2" s="1"/>
  <c r="Y27" i="2"/>
  <c r="Y25" i="2"/>
  <c r="Y22" i="2"/>
  <c r="Y29" i="2"/>
  <c r="D9" i="1"/>
  <c r="AC15" i="2"/>
  <c r="Y28" i="2"/>
  <c r="I16" i="2"/>
  <c r="I30" i="2"/>
  <c r="X16" i="2"/>
  <c r="X30" i="2"/>
  <c r="D16" i="2"/>
  <c r="D30" i="2"/>
  <c r="C16" i="2"/>
  <c r="C30" i="2"/>
  <c r="N12" i="2"/>
  <c r="N13" i="2" s="1"/>
  <c r="N16" i="2" s="1"/>
  <c r="Y4" i="2"/>
  <c r="Y5" i="2" s="1"/>
  <c r="Y23" i="2" s="1"/>
  <c r="H16" i="2"/>
  <c r="H30" i="2"/>
  <c r="T16" i="2"/>
  <c r="T30" i="2"/>
  <c r="M12" i="2"/>
  <c r="M13" i="2" s="1"/>
  <c r="M16" i="2" s="1"/>
  <c r="L18" i="2"/>
  <c r="L31" i="2"/>
  <c r="E16" i="2"/>
  <c r="E30" i="2"/>
  <c r="K16" i="2"/>
  <c r="K30" i="2"/>
  <c r="U16" i="2"/>
  <c r="U30" i="2"/>
  <c r="M26" i="2"/>
  <c r="G16" i="2"/>
  <c r="G30" i="2"/>
  <c r="V16" i="2"/>
  <c r="V30" i="2"/>
  <c r="J16" i="2"/>
  <c r="J30" i="2"/>
  <c r="F16" i="2"/>
  <c r="F30" i="2"/>
  <c r="W13" i="2"/>
  <c r="Q31" i="2" l="1"/>
  <c r="Q32" i="2"/>
  <c r="Q20" i="2"/>
  <c r="AB3" i="2"/>
  <c r="AB11" i="2" s="1"/>
  <c r="AA11" i="2"/>
  <c r="P31" i="2"/>
  <c r="R31" i="2"/>
  <c r="R18" i="2"/>
  <c r="O20" i="2"/>
  <c r="O32" i="2"/>
  <c r="Y12" i="2"/>
  <c r="Y13" i="2" s="1"/>
  <c r="Y16" i="2" s="1"/>
  <c r="L20" i="2"/>
  <c r="L32" i="2"/>
  <c r="Z22" i="2"/>
  <c r="Z29" i="2"/>
  <c r="N18" i="2"/>
  <c r="AB10" i="2"/>
  <c r="AA28" i="2"/>
  <c r="Z28" i="2"/>
  <c r="Z27" i="2"/>
  <c r="Z25" i="2"/>
  <c r="Z26" i="2"/>
  <c r="AD15" i="2"/>
  <c r="M30" i="2"/>
  <c r="V18" i="2"/>
  <c r="V31" i="2"/>
  <c r="H18" i="2"/>
  <c r="H31" i="2"/>
  <c r="X18" i="2"/>
  <c r="X31" i="2"/>
  <c r="E18" i="2"/>
  <c r="E31" i="2"/>
  <c r="G18" i="2"/>
  <c r="G31" i="2"/>
  <c r="I18" i="2"/>
  <c r="I31" i="2"/>
  <c r="C18" i="2"/>
  <c r="C31" i="2"/>
  <c r="F18" i="2"/>
  <c r="F31" i="2"/>
  <c r="W16" i="2"/>
  <c r="W30" i="2"/>
  <c r="U18" i="2"/>
  <c r="U31" i="2"/>
  <c r="J18" i="2"/>
  <c r="J31" i="2"/>
  <c r="T18" i="2"/>
  <c r="T31" i="2"/>
  <c r="D18" i="2"/>
  <c r="D31" i="2"/>
  <c r="N30" i="2"/>
  <c r="K18" i="2"/>
  <c r="K31" i="2"/>
  <c r="Z17" i="2" l="1"/>
  <c r="P18" i="2"/>
  <c r="R20" i="2"/>
  <c r="R32" i="2"/>
  <c r="AA29" i="2"/>
  <c r="AA5" i="2"/>
  <c r="AA23" i="2" s="1"/>
  <c r="J20" i="2"/>
  <c r="J32" i="2"/>
  <c r="C20" i="2"/>
  <c r="C32" i="2"/>
  <c r="X20" i="2"/>
  <c r="X32" i="2"/>
  <c r="K20" i="2"/>
  <c r="K32" i="2"/>
  <c r="U20" i="2"/>
  <c r="U32" i="2"/>
  <c r="I20" i="2"/>
  <c r="I32" i="2"/>
  <c r="H20" i="2"/>
  <c r="H32" i="2"/>
  <c r="D20" i="2"/>
  <c r="D32" i="2"/>
  <c r="G20" i="2"/>
  <c r="G32" i="2"/>
  <c r="V20" i="2"/>
  <c r="V32" i="2"/>
  <c r="T20" i="2"/>
  <c r="T32" i="2"/>
  <c r="F20" i="2"/>
  <c r="F32" i="2"/>
  <c r="E20" i="2"/>
  <c r="E32" i="2"/>
  <c r="N31" i="2"/>
  <c r="Y17" i="2"/>
  <c r="Y18" i="2" s="1"/>
  <c r="N20" i="2"/>
  <c r="N32" i="2"/>
  <c r="AC10" i="2"/>
  <c r="AB28" i="2"/>
  <c r="AA25" i="2"/>
  <c r="M31" i="2"/>
  <c r="M18" i="2"/>
  <c r="M20" i="2" s="1"/>
  <c r="Y30" i="2"/>
  <c r="AA8" i="2"/>
  <c r="AA26" i="2" s="1"/>
  <c r="AA6" i="2"/>
  <c r="AA22" i="2"/>
  <c r="Z12" i="2"/>
  <c r="Z24" i="2"/>
  <c r="AE15" i="2"/>
  <c r="W18" i="2"/>
  <c r="W31" i="2"/>
  <c r="P20" i="2" l="1"/>
  <c r="P32" i="2"/>
  <c r="AB29" i="2"/>
  <c r="AB5" i="2"/>
  <c r="AB23" i="2" s="1"/>
  <c r="W20" i="2"/>
  <c r="W32" i="2"/>
  <c r="Y31" i="2"/>
  <c r="AD10" i="2"/>
  <c r="AC28" i="2"/>
  <c r="AB25" i="2"/>
  <c r="AA4" i="2"/>
  <c r="M32" i="2"/>
  <c r="AA12" i="2"/>
  <c r="AA13" i="2" s="1"/>
  <c r="AA24" i="2"/>
  <c r="Y20" i="2"/>
  <c r="Y32" i="2"/>
  <c r="AC3" i="2"/>
  <c r="AC11" i="2" s="1"/>
  <c r="AB22" i="2"/>
  <c r="AB6" i="2"/>
  <c r="AB8" i="2"/>
  <c r="AB26" i="2" s="1"/>
  <c r="AF15" i="2"/>
  <c r="AC29" i="2" l="1"/>
  <c r="AC5" i="2"/>
  <c r="AC23" i="2" s="1"/>
  <c r="AB4" i="2"/>
  <c r="AE10" i="2"/>
  <c r="AD28" i="2"/>
  <c r="AC25" i="2"/>
  <c r="AC22" i="2"/>
  <c r="AD3" i="2"/>
  <c r="AD11" i="2" s="1"/>
  <c r="AC8" i="2"/>
  <c r="AC26" i="2" s="1"/>
  <c r="AC6" i="2"/>
  <c r="AB24" i="2"/>
  <c r="AB12" i="2"/>
  <c r="AB13" i="2" s="1"/>
  <c r="AA30" i="2"/>
  <c r="AA16" i="2"/>
  <c r="AG15" i="2"/>
  <c r="AD29" i="2" l="1"/>
  <c r="AD5" i="2"/>
  <c r="AD23" i="2" s="1"/>
  <c r="AC4" i="2"/>
  <c r="AF10" i="2"/>
  <c r="AE28" i="2"/>
  <c r="AE7" i="2"/>
  <c r="AD25" i="2"/>
  <c r="AC24" i="2"/>
  <c r="AC12" i="2"/>
  <c r="AC13" i="2" s="1"/>
  <c r="AA17" i="2"/>
  <c r="AA31" i="2" s="1"/>
  <c r="AD22" i="2"/>
  <c r="AE3" i="2"/>
  <c r="AE11" i="2" s="1"/>
  <c r="AD8" i="2"/>
  <c r="AD26" i="2" s="1"/>
  <c r="AD6" i="2"/>
  <c r="AB16" i="2"/>
  <c r="AB30" i="2"/>
  <c r="AH15" i="2"/>
  <c r="AE29" i="2" l="1"/>
  <c r="AE5" i="2"/>
  <c r="AE23" i="2" s="1"/>
  <c r="AG10" i="2"/>
  <c r="AF28" i="2"/>
  <c r="AF7" i="2"/>
  <c r="AE25" i="2"/>
  <c r="AB17" i="2"/>
  <c r="AB31" i="2" s="1"/>
  <c r="AA18" i="2"/>
  <c r="AD4" i="2"/>
  <c r="AD12" i="2"/>
  <c r="AD13" i="2" s="1"/>
  <c r="AD24" i="2"/>
  <c r="AC30" i="2"/>
  <c r="AC16" i="2"/>
  <c r="AE22" i="2"/>
  <c r="AF3" i="2"/>
  <c r="AF11" i="2" s="1"/>
  <c r="AE8" i="2"/>
  <c r="AE26" i="2" s="1"/>
  <c r="AE6" i="2"/>
  <c r="AI15" i="2"/>
  <c r="AF29" i="2" l="1"/>
  <c r="AF5" i="2"/>
  <c r="AE4" i="2"/>
  <c r="AH10" i="2"/>
  <c r="AG28" i="2"/>
  <c r="AG7" i="2"/>
  <c r="AF25" i="2"/>
  <c r="AC17" i="2"/>
  <c r="AC31" i="2" s="1"/>
  <c r="AE24" i="2"/>
  <c r="AE12" i="2"/>
  <c r="AE13" i="2" s="1"/>
  <c r="AD30" i="2"/>
  <c r="AD16" i="2"/>
  <c r="AF22" i="2"/>
  <c r="AF6" i="2"/>
  <c r="AG3" i="2"/>
  <c r="AG11" i="2" s="1"/>
  <c r="AF8" i="2"/>
  <c r="AF26" i="2" s="1"/>
  <c r="AF23" i="2"/>
  <c r="AA20" i="2"/>
  <c r="AA32" i="2"/>
  <c r="AB18" i="2"/>
  <c r="AJ15" i="2"/>
  <c r="AG29" i="2" l="1"/>
  <c r="AG5" i="2"/>
  <c r="AG23" i="2" s="1"/>
  <c r="AI10" i="2"/>
  <c r="AH28" i="2"/>
  <c r="AH7" i="2"/>
  <c r="AG25" i="2"/>
  <c r="AF4" i="2"/>
  <c r="AB20" i="2"/>
  <c r="AB32" i="2"/>
  <c r="AF24" i="2"/>
  <c r="AF12" i="2"/>
  <c r="AF13" i="2" s="1"/>
  <c r="AD17" i="2"/>
  <c r="AD31" i="2" s="1"/>
  <c r="AE30" i="2"/>
  <c r="AE16" i="2"/>
  <c r="AC18" i="2"/>
  <c r="AG22" i="2"/>
  <c r="AH3" i="2"/>
  <c r="AH11" i="2" s="1"/>
  <c r="AG8" i="2"/>
  <c r="AG26" i="2" s="1"/>
  <c r="AG6" i="2"/>
  <c r="AH5" i="2" l="1"/>
  <c r="AG4" i="2"/>
  <c r="AJ10" i="2"/>
  <c r="AJ28" i="2" s="1"/>
  <c r="AI28" i="2"/>
  <c r="AD18" i="2"/>
  <c r="AD32" i="2" s="1"/>
  <c r="AI7" i="2"/>
  <c r="AH25" i="2"/>
  <c r="AG12" i="2"/>
  <c r="AG13" i="2" s="1"/>
  <c r="AG24" i="2"/>
  <c r="AF16" i="2"/>
  <c r="AF30" i="2"/>
  <c r="AH22" i="2"/>
  <c r="AI3" i="2"/>
  <c r="AI11" i="2" s="1"/>
  <c r="AH8" i="2"/>
  <c r="AH26" i="2" s="1"/>
  <c r="AH23" i="2"/>
  <c r="AH29" i="2"/>
  <c r="AH6" i="2"/>
  <c r="AE17" i="2"/>
  <c r="AE31" i="2" s="1"/>
  <c r="AC32" i="2"/>
  <c r="AC20" i="2"/>
  <c r="AI29" i="2" l="1"/>
  <c r="AI5" i="2"/>
  <c r="AI23" i="2" s="1"/>
  <c r="AD20" i="2"/>
  <c r="AJ7" i="2"/>
  <c r="AJ25" i="2" s="1"/>
  <c r="AI25" i="2"/>
  <c r="AE18" i="2"/>
  <c r="AE20" i="2" s="1"/>
  <c r="AH4" i="2"/>
  <c r="AI22" i="2"/>
  <c r="AI6" i="2"/>
  <c r="AI8" i="2"/>
  <c r="AI26" i="2" s="1"/>
  <c r="AJ3" i="2"/>
  <c r="AJ11" i="2" s="1"/>
  <c r="AF17" i="2"/>
  <c r="AF31" i="2" s="1"/>
  <c r="AH24" i="2"/>
  <c r="AH12" i="2"/>
  <c r="AH13" i="2" s="1"/>
  <c r="AG30" i="2"/>
  <c r="AG16" i="2"/>
  <c r="AJ5" i="2" l="1"/>
  <c r="AE32" i="2"/>
  <c r="AF18" i="2"/>
  <c r="AF20" i="2" s="1"/>
  <c r="AI4" i="2"/>
  <c r="AI12" i="2"/>
  <c r="AI13" i="2" s="1"/>
  <c r="AI24" i="2"/>
  <c r="AG17" i="2"/>
  <c r="AG31" i="2" s="1"/>
  <c r="AH30" i="2"/>
  <c r="AH16" i="2"/>
  <c r="AJ22" i="2"/>
  <c r="AJ23" i="2"/>
  <c r="AJ29" i="2"/>
  <c r="AJ8" i="2"/>
  <c r="AJ26" i="2" s="1"/>
  <c r="AJ6" i="2"/>
  <c r="AF32" i="2" l="1"/>
  <c r="AJ4" i="2"/>
  <c r="AG18" i="2"/>
  <c r="AH17" i="2"/>
  <c r="AH31" i="2" s="1"/>
  <c r="AJ12" i="2"/>
  <c r="AJ13" i="2" s="1"/>
  <c r="AJ24" i="2"/>
  <c r="AI30" i="2"/>
  <c r="AI16" i="2"/>
  <c r="AH18" i="2" l="1"/>
  <c r="AH32" i="2" s="1"/>
  <c r="AJ30" i="2"/>
  <c r="AJ16" i="2"/>
  <c r="AI17" i="2"/>
  <c r="AI31" i="2" s="1"/>
  <c r="AG20" i="2"/>
  <c r="AG32" i="2"/>
  <c r="AH20" i="2" l="1"/>
  <c r="AI18" i="2"/>
  <c r="AJ17" i="2"/>
  <c r="AJ31" i="2" s="1"/>
  <c r="AJ18" i="2" l="1"/>
  <c r="AI32" i="2"/>
  <c r="AI20" i="2"/>
  <c r="AK18" i="2" l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AJ20" i="2"/>
  <c r="AJ32" i="2"/>
  <c r="P23" i="2" l="1"/>
  <c r="Z4" i="2"/>
  <c r="Z5" i="2" s="1"/>
  <c r="Z23" i="2" l="1"/>
  <c r="Z13" i="2"/>
  <c r="Z16" i="2" l="1"/>
  <c r="Z30" i="2"/>
  <c r="Z31" i="2" l="1"/>
  <c r="Z18" i="2"/>
  <c r="Z20" i="2" l="1"/>
  <c r="AN25" i="2"/>
  <c r="AN27" i="2" s="1"/>
  <c r="AN28" i="2" s="1"/>
  <c r="AN30" i="2" s="1"/>
  <c r="Z32" i="2"/>
</calcChain>
</file>

<file path=xl/sharedStrings.xml><?xml version="1.0" encoding="utf-8"?>
<sst xmlns="http://schemas.openxmlformats.org/spreadsheetml/2006/main" count="68" uniqueCount="63">
  <si>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</si>
  <si>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</si>
  <si>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</si>
  <si>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</si>
  <si>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</si>
  <si>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</si>
  <si>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</si>
  <si>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</si>
  <si>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</si>
  <si>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</si>
  <si>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Revenue</t>
  </si>
  <si>
    <t>Cost of sales</t>
  </si>
  <si>
    <t>S&amp;M</t>
  </si>
  <si>
    <t>Maintenance</t>
  </si>
  <si>
    <t>Professional fees</t>
  </si>
  <si>
    <t>D&amp;A</t>
  </si>
  <si>
    <t>G&amp;A</t>
  </si>
  <si>
    <t>Litigation</t>
  </si>
  <si>
    <t>Total operating costs</t>
  </si>
  <si>
    <t>Operating profit</t>
  </si>
  <si>
    <t>Interest expense</t>
  </si>
  <si>
    <t>Other income</t>
  </si>
  <si>
    <t>Pretax income</t>
  </si>
  <si>
    <t>Taxes</t>
  </si>
  <si>
    <t>Net income</t>
  </si>
  <si>
    <t>EPS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</si>
  <si>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</si>
  <si>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</si>
  <si>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</si>
  <si>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</si>
  <si>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</si>
  <si>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</si>
  <si>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</si>
  <si>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</si>
  <si>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</si>
  <si>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</si>
  <si>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</si>
  <si>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</si>
  <si>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Gross profit</t>
  </si>
  <si>
    <t>Revenue y/y</t>
  </si>
  <si>
    <t>Gross Margin</t>
  </si>
  <si>
    <t>S&amp;M Margin</t>
  </si>
  <si>
    <t>Prof Margin</t>
  </si>
  <si>
    <t>D&amp;A y/y</t>
  </si>
  <si>
    <t>G&amp;A y/y</t>
  </si>
  <si>
    <t>Litigation Margin</t>
  </si>
  <si>
    <t>Operating Margin</t>
  </si>
  <si>
    <t>Maintenance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</si>
  <si>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</si>
  <si>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</si>
  <si>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</si>
  <si>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</si>
  <si>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</si>
  <si>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</si>
  <si>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</si>
  <si>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</si>
  <si>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</si>
  <si>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Net Margin</t>
  </si>
  <si>
    <t>Q125</t>
  </si>
  <si>
    <t>Q225</t>
  </si>
  <si>
    <t>Q325</t>
  </si>
  <si>
    <t>Q425</t>
  </si>
  <si>
    <t>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</si>
</sst>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2" fillId="0" borderId="0" xfId="0" applyFont="1"/>
    <xf numFmtId="3" fontId="2" fillId="0" borderId="0" xfId="0" applyNumberFormat="1" applyFont="1"/>
    <xf numFmtId="14" fontId="0" fillId="0" borderId="0" xfId="0" applyNumberFormat="1"/>
    <xf numFmtId="9" fontId="0" fillId="0" borderId="0" xfId="0" applyNumberFormat="1"/>
    <xf numFmtId="9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</xdr:colOff>
      <xdr:row>0</xdr:row>
      <xdr:rowOff>0</xdr:rowOff>
    </xdr:from>
    <xdr:to>
      <xdr:col>16</xdr:col>
      <xdr:colOff>22860</xdr:colOff>
      <xdr:row>34</xdr:row>
      <xdr:rowOff>91440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05E8CF-0DD9-496E-BF85-0C85CBAC4880}"/>
            </a:ext>
          </a:extLst>
        </xdr:cNvPr>
        <xdr:cNvCxnSpPr/>
      </xdr:nvCxnSpPr>
      <xdr:spPr>
        <a:xfrm>
          <a:off x="12245340" y="0"/>
          <a:ext cx="0" cy="63093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30480</xdr:colOff>
      <xdr:row>0</xdr:row>
      <xdr:rowOff>0</xdr:rowOff>
    </xdr:from>
    <xdr:to>
      <xdr:col>25</xdr:col>
      <xdr:colOff>30480</xdr:colOff>
      <xdr:row>34</xdr:row>
      <xdr:rowOff>91440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1E01C9E-148E-55DD-246E-335BB93A63FB}"/>
            </a:ext>
          </a:extLst>
        </xdr:cNvPr>
        <xdr:cNvCxnSpPr/>
      </xdr:nvCxnSpPr>
      <xdr:spPr>
        <a:xfrm>
          <a:off x="18653760" y="0"/>
          <a:ext cx="0" cy="63093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B682-F786-4690-9B55-6BA7F63E1587}">
  <dimension ref="C2:G9"/>
  <sheetViews>
    <sheetView tabSelected="1" workbookViewId="0">
      <selection activeCell="E4" sqref="E4"/>
    </sheetView>
  </sheetViews>
  <sheetFormatPr defaultRowHeight="14.4" x14ac:dyDescent="0.3"/>
  <cols>
    <col min="5" max="7" width="13.77734375" style="1" customWidth="1"/>
    <col min="8" max="8" width="8.88671875" customWidth="1"/>
  </cols>
  <sheetData>
    <row r="2" spans="3:7" x14ac:dyDescent="0.3">
      <c r="E2" s="1" t="s">
        <v>7</v>
      </c>
      <c r="F2" s="1" t="s">
        <v>8</v>
      </c>
      <c r="G2" s="1" t="s">
        <v>9</v>
      </c>
    </row>
    <row r="3" spans="3:7" x14ac:dyDescent="0.3">
      <c r="C3" t="s">
        <v>0</v>
      </c>
      <c r="D3" s="11">
        <v>347.6</v>
      </c>
      <c r="E3" s="2">
        <v>45781</v>
      </c>
      <c r="F3" s="2">
        <f ca="1">TODAY()</f>
        <v>45781</v>
      </c>
      <c r="G3" s="2">
        <v>45867</v>
      </c>
    </row>
    <row r="4" spans="3:7" x14ac:dyDescent="0.3">
      <c r="C4" t="s">
        <v>1</v>
      </c>
      <c r="D4" s="3">
        <f>1711+4.8+120.3+9</f>
        <v>1845.1</v>
      </c>
      <c r="E4" s="1" t="s">
        <v>59</v>
      </c>
    </row>
    <row r="5" spans="3:7" x14ac:dyDescent="0.3">
      <c r="C5" t="s">
        <v>2</v>
      </c>
      <c r="D5" s="3">
        <f>D3*D4</f>
        <v>641356.76</v>
      </c>
    </row>
    <row r="6" spans="3:7" x14ac:dyDescent="0.3">
      <c r="C6" t="s">
        <v>3</v>
      </c>
      <c r="D6" s="3">
        <f>11734+2017+1470</f>
        <v>15221</v>
      </c>
      <c r="E6" s="1" t="s">
        <v>59</v>
      </c>
    </row>
    <row r="7" spans="3:7" x14ac:dyDescent="0.3">
      <c r="C7" t="s">
        <v>4</v>
      </c>
      <c r="D7" s="3">
        <f>3948+16814</f>
        <v>20762</v>
      </c>
      <c r="E7" s="1" t="s">
        <v>59</v>
      </c>
    </row>
    <row r="8" spans="3:7" x14ac:dyDescent="0.3">
      <c r="C8" t="s">
        <v>5</v>
      </c>
      <c r="D8" s="3">
        <f>D6-D7</f>
        <v>-5541</v>
      </c>
    </row>
    <row r="9" spans="3:7" x14ac:dyDescent="0.3">
      <c r="C9" t="s">
        <v>6</v>
      </c>
      <c r="D9" s="3">
        <f>D5-D8</f>
        <v>646897.76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1B6C-1CC8-4332-BFEF-F20E1EFE721D}">
  <dimension ref="A1:EQ32"/>
  <sheetViews>
    <sheetView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P5" sqref="P5"/>
    </sheetView>
  </sheetViews>
  <sheetFormatPr defaultRowHeight="14.4" x14ac:dyDescent="0.3"/>
  <cols>
    <col min="2" max="2" width="21.5546875" customWidth="1"/>
    <col min="3" max="14" width="10.5546875" bestFit="1" customWidth="1"/>
    <col min="15" max="18" width="10.5546875" customWidth="1"/>
    <col min="20" max="36" width="10.5546875" bestFit="1" customWidth="1"/>
    <col min="39" max="39" width="12" bestFit="1" customWidth="1"/>
    <col min="40" max="40" width="17.6640625" customWidth="1"/>
  </cols>
  <sheetData>
    <row r="1" spans="1:36" x14ac:dyDescent="0.3">
      <c r="C1" s="8">
        <v>44561</v>
      </c>
      <c r="D1" s="8">
        <v>44651</v>
      </c>
      <c r="E1" s="8">
        <v>44742</v>
      </c>
      <c r="F1" s="8">
        <v>44834</v>
      </c>
      <c r="G1" s="8">
        <v>44926</v>
      </c>
      <c r="H1" s="8">
        <v>45016</v>
      </c>
      <c r="I1" s="8">
        <v>45107</v>
      </c>
      <c r="J1" s="8">
        <v>45199</v>
      </c>
      <c r="K1" s="8">
        <v>45291</v>
      </c>
      <c r="L1" s="8">
        <v>45382</v>
      </c>
      <c r="M1" s="8">
        <v>45473</v>
      </c>
      <c r="N1" s="8">
        <v>45565</v>
      </c>
      <c r="O1" s="8">
        <v>45657</v>
      </c>
      <c r="P1" s="8">
        <v>45747</v>
      </c>
      <c r="Q1" s="8">
        <v>45838</v>
      </c>
      <c r="R1" s="8">
        <v>45930</v>
      </c>
      <c r="T1" s="8">
        <v>43738</v>
      </c>
      <c r="U1" s="8">
        <v>44104</v>
      </c>
      <c r="V1" s="8">
        <v>44469</v>
      </c>
      <c r="W1" s="8">
        <v>44834</v>
      </c>
      <c r="X1" s="8">
        <v>45199</v>
      </c>
      <c r="Y1" s="8">
        <v>45565</v>
      </c>
      <c r="Z1" s="8">
        <v>45930</v>
      </c>
      <c r="AA1" s="8">
        <v>46295</v>
      </c>
      <c r="AB1" s="8">
        <v>46660</v>
      </c>
      <c r="AC1" s="8">
        <v>47026</v>
      </c>
      <c r="AD1" s="8">
        <v>47391</v>
      </c>
      <c r="AE1" s="8">
        <v>47756</v>
      </c>
      <c r="AF1" s="8">
        <v>48121</v>
      </c>
      <c r="AG1" s="8">
        <v>48487</v>
      </c>
      <c r="AH1" s="8">
        <v>48852</v>
      </c>
      <c r="AI1" s="8">
        <v>49217</v>
      </c>
      <c r="AJ1" s="8">
        <v>49582</v>
      </c>
    </row>
    <row r="2" spans="1:36" x14ac:dyDescent="0.3">
      <c r="C2" s="4" t="s">
        <v>26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31</v>
      </c>
      <c r="I2" s="4" t="s">
        <v>32</v>
      </c>
      <c r="J2" s="4" t="s">
        <v>33</v>
      </c>
      <c r="K2" s="4" t="s">
        <v>34</v>
      </c>
      <c r="L2" s="4" t="s">
        <v>35</v>
      </c>
      <c r="M2" s="4" t="s">
        <v>36</v>
      </c>
      <c r="N2" s="4" t="s">
        <v>37</v>
      </c>
      <c r="O2" s="4" t="s">
        <v>58</v>
      </c>
      <c r="P2" s="4" t="s">
        <v>59</v>
      </c>
      <c r="Q2" s="4" t="s">
        <v>60</v>
      </c>
      <c r="R2" s="4" t="s">
        <v>61</v>
      </c>
      <c r="T2">
        <v>2019</v>
      </c>
      <c r="U2">
        <v>2020</v>
      </c>
      <c r="V2">
        <v>2021</v>
      </c>
      <c r="W2">
        <v>2022</v>
      </c>
      <c r="X2">
        <v>2023</v>
      </c>
      <c r="Y2">
        <v>2024</v>
      </c>
      <c r="Z2">
        <v>2025</v>
      </c>
      <c r="AA2">
        <v>2026</v>
      </c>
      <c r="AB2">
        <v>2027</v>
      </c>
      <c r="AC2">
        <v>2028</v>
      </c>
      <c r="AD2">
        <v>2029</v>
      </c>
      <c r="AE2">
        <v>2030</v>
      </c>
      <c r="AF2">
        <v>2031</v>
      </c>
      <c r="AG2">
        <v>2032</v>
      </c>
      <c r="AH2">
        <v>2033</v>
      </c>
      <c r="AI2">
        <v>2034</v>
      </c>
      <c r="AJ2">
        <v>2035</v>
      </c>
    </row>
    <row r="3" spans="1:36" s="6" customFormat="1" x14ac:dyDescent="0.3">
      <c r="A3"/>
      <c r="B3" s="6" t="s">
        <v>10</v>
      </c>
      <c r="C3" s="7">
        <v>7059</v>
      </c>
      <c r="D3" s="7">
        <v>7189</v>
      </c>
      <c r="E3" s="7">
        <v>7275</v>
      </c>
      <c r="F3" s="7">
        <v>7787</v>
      </c>
      <c r="G3" s="7">
        <v>7936</v>
      </c>
      <c r="H3" s="7">
        <v>7985</v>
      </c>
      <c r="I3" s="7">
        <v>8123</v>
      </c>
      <c r="J3" s="7">
        <v>8609</v>
      </c>
      <c r="K3" s="7">
        <v>8634</v>
      </c>
      <c r="L3" s="7">
        <v>8775</v>
      </c>
      <c r="M3" s="7">
        <v>8900</v>
      </c>
      <c r="N3" s="7">
        <v>9617</v>
      </c>
      <c r="O3" s="7">
        <v>9510</v>
      </c>
      <c r="P3" s="7">
        <v>9594</v>
      </c>
      <c r="Q3" s="7">
        <f>M3*1.1</f>
        <v>9790</v>
      </c>
      <c r="R3" s="7">
        <f>N3*1.07</f>
        <v>10290.19</v>
      </c>
      <c r="T3" s="7">
        <v>22977</v>
      </c>
      <c r="U3" s="7">
        <v>21846</v>
      </c>
      <c r="V3" s="7">
        <v>24105</v>
      </c>
      <c r="W3" s="7">
        <f>SUM(C3:F3)</f>
        <v>29310</v>
      </c>
      <c r="X3" s="7">
        <f>SUM(G3:J3)</f>
        <v>32653</v>
      </c>
      <c r="Y3" s="7">
        <f>SUM(K3:N3)</f>
        <v>35926</v>
      </c>
      <c r="Z3" s="7">
        <f>SUM(O3:R3)</f>
        <v>39184.19</v>
      </c>
      <c r="AA3" s="7">
        <f>Z3*1.07</f>
        <v>41927.083300000006</v>
      </c>
      <c r="AB3" s="7">
        <f>AA3*1.05</f>
        <v>44023.43746500001</v>
      </c>
      <c r="AC3" s="7">
        <f>AB3*1.03</f>
        <v>45344.140588950009</v>
      </c>
      <c r="AD3" s="7">
        <f t="shared" ref="AD3:AJ3" si="0">AC3*1.02</f>
        <v>46251.023400729013</v>
      </c>
      <c r="AE3" s="7">
        <f t="shared" si="0"/>
        <v>47176.043868743596</v>
      </c>
      <c r="AF3" s="7">
        <f t="shared" si="0"/>
        <v>48119.564746118471</v>
      </c>
      <c r="AG3" s="7">
        <f t="shared" si="0"/>
        <v>49081.956041040838</v>
      </c>
      <c r="AH3" s="7">
        <f t="shared" si="0"/>
        <v>50063.595161861653</v>
      </c>
      <c r="AI3" s="7">
        <f t="shared" si="0"/>
        <v>51064.867065098886</v>
      </c>
      <c r="AJ3" s="7">
        <f t="shared" si="0"/>
        <v>52086.164406400865</v>
      </c>
    </row>
    <row r="4" spans="1:36" x14ac:dyDescent="0.3">
      <c r="B4" t="s">
        <v>11</v>
      </c>
      <c r="C4" s="3">
        <v>1125</v>
      </c>
      <c r="D4" s="3">
        <v>1226</v>
      </c>
      <c r="E4" s="3">
        <v>1283</v>
      </c>
      <c r="F4" s="3">
        <v>1356</v>
      </c>
      <c r="G4" s="3">
        <v>1337</v>
      </c>
      <c r="H4" s="3">
        <v>1515</v>
      </c>
      <c r="I4" s="3">
        <v>1481</v>
      </c>
      <c r="J4" s="3">
        <v>1498</v>
      </c>
      <c r="K4" s="3">
        <v>1479</v>
      </c>
      <c r="L4" s="3">
        <v>1603</v>
      </c>
      <c r="M4" s="3">
        <v>1573</v>
      </c>
      <c r="N4" s="3">
        <v>1609</v>
      </c>
      <c r="O4" s="3">
        <v>1813</v>
      </c>
      <c r="P4" s="3">
        <v>1657</v>
      </c>
      <c r="Q4" s="3">
        <f t="shared" ref="Q4:R4" si="1">Q3-Q5</f>
        <v>1762.2000000000007</v>
      </c>
      <c r="R4" s="3">
        <f t="shared" si="1"/>
        <v>1852.2342000000008</v>
      </c>
      <c r="T4" s="3">
        <v>3444</v>
      </c>
      <c r="U4" s="3">
        <v>3785</v>
      </c>
      <c r="V4" s="3">
        <v>4240</v>
      </c>
      <c r="W4" s="3">
        <f>SUM(C4:F4)</f>
        <v>4990</v>
      </c>
      <c r="X4" s="3">
        <f>SUM(G4:J4)</f>
        <v>5831</v>
      </c>
      <c r="Y4" s="3">
        <f>SUM(K4:N4)</f>
        <v>6264</v>
      </c>
      <c r="Z4" s="3">
        <f>SUM(O4:R4)</f>
        <v>7084.4342000000015</v>
      </c>
      <c r="AA4" s="3">
        <f t="shared" ref="AA4:AJ4" si="2">AA3-AA5</f>
        <v>7127.6041610000029</v>
      </c>
      <c r="AB4" s="3">
        <f t="shared" si="2"/>
        <v>7483.9843690500056</v>
      </c>
      <c r="AC4" s="3">
        <f t="shared" si="2"/>
        <v>7708.5039001215046</v>
      </c>
      <c r="AD4" s="3">
        <f t="shared" si="2"/>
        <v>7862.6739781239376</v>
      </c>
      <c r="AE4" s="3">
        <f t="shared" si="2"/>
        <v>8019.9274576864118</v>
      </c>
      <c r="AF4" s="3">
        <f t="shared" si="2"/>
        <v>8180.3260068401432</v>
      </c>
      <c r="AG4" s="3">
        <f t="shared" si="2"/>
        <v>8343.932526976947</v>
      </c>
      <c r="AH4" s="3">
        <f t="shared" si="2"/>
        <v>8510.8111775164798</v>
      </c>
      <c r="AI4" s="3">
        <f t="shared" si="2"/>
        <v>8681.0274010668145</v>
      </c>
      <c r="AJ4" s="3">
        <f t="shared" si="2"/>
        <v>8854.6479490881466</v>
      </c>
    </row>
    <row r="5" spans="1:36" s="6" customFormat="1" x14ac:dyDescent="0.3">
      <c r="A5"/>
      <c r="B5" s="6" t="s">
        <v>38</v>
      </c>
      <c r="C5" s="7">
        <f t="shared" ref="C5:N5" si="3">C3-C4</f>
        <v>5934</v>
      </c>
      <c r="D5" s="7">
        <f t="shared" si="3"/>
        <v>5963</v>
      </c>
      <c r="E5" s="7">
        <f t="shared" si="3"/>
        <v>5992</v>
      </c>
      <c r="F5" s="7">
        <f t="shared" si="3"/>
        <v>6431</v>
      </c>
      <c r="G5" s="7">
        <f t="shared" si="3"/>
        <v>6599</v>
      </c>
      <c r="H5" s="7">
        <f t="shared" si="3"/>
        <v>6470</v>
      </c>
      <c r="I5" s="7">
        <f t="shared" si="3"/>
        <v>6642</v>
      </c>
      <c r="J5" s="7">
        <f t="shared" si="3"/>
        <v>7111</v>
      </c>
      <c r="K5" s="7">
        <f t="shared" si="3"/>
        <v>7155</v>
      </c>
      <c r="L5" s="7">
        <f t="shared" si="3"/>
        <v>7172</v>
      </c>
      <c r="M5" s="7">
        <f t="shared" si="3"/>
        <v>7327</v>
      </c>
      <c r="N5" s="7">
        <f t="shared" si="3"/>
        <v>8008</v>
      </c>
      <c r="O5" s="7">
        <f t="shared" ref="O5:P5" si="4">O3-O4</f>
        <v>7697</v>
      </c>
      <c r="P5" s="7">
        <f t="shared" si="4"/>
        <v>7937</v>
      </c>
      <c r="Q5" s="7">
        <f t="shared" ref="Q5:R5" si="5">Q3*0.82</f>
        <v>8027.7999999999993</v>
      </c>
      <c r="R5" s="7">
        <f t="shared" si="5"/>
        <v>8437.9557999999997</v>
      </c>
      <c r="T5" s="7">
        <f t="shared" ref="T5:Z5" si="6">T3-T4</f>
        <v>19533</v>
      </c>
      <c r="U5" s="7">
        <f t="shared" si="6"/>
        <v>18061</v>
      </c>
      <c r="V5" s="7">
        <f t="shared" si="6"/>
        <v>19865</v>
      </c>
      <c r="W5" s="7">
        <f t="shared" si="6"/>
        <v>24320</v>
      </c>
      <c r="X5" s="7">
        <f t="shared" si="6"/>
        <v>26822</v>
      </c>
      <c r="Y5" s="7">
        <f t="shared" si="6"/>
        <v>29662</v>
      </c>
      <c r="Z5" s="7">
        <f t="shared" si="6"/>
        <v>32099.755799999999</v>
      </c>
      <c r="AA5" s="7">
        <f t="shared" ref="AA5:AJ5" si="7">AA3*0.83</f>
        <v>34799.479139000003</v>
      </c>
      <c r="AB5" s="7">
        <f t="shared" si="7"/>
        <v>36539.453095950004</v>
      </c>
      <c r="AC5" s="7">
        <f t="shared" si="7"/>
        <v>37635.636688828505</v>
      </c>
      <c r="AD5" s="7">
        <f t="shared" si="7"/>
        <v>38388.349422605075</v>
      </c>
      <c r="AE5" s="7">
        <f t="shared" si="7"/>
        <v>39156.116411057184</v>
      </c>
      <c r="AF5" s="7">
        <f t="shared" si="7"/>
        <v>39939.238739278328</v>
      </c>
      <c r="AG5" s="7">
        <f t="shared" si="7"/>
        <v>40738.023514063891</v>
      </c>
      <c r="AH5" s="7">
        <f t="shared" si="7"/>
        <v>41552.783984345173</v>
      </c>
      <c r="AI5" s="7">
        <f t="shared" si="7"/>
        <v>42383.839664032072</v>
      </c>
      <c r="AJ5" s="7">
        <f t="shared" si="7"/>
        <v>43231.516457312719</v>
      </c>
    </row>
    <row r="6" spans="1:36" x14ac:dyDescent="0.3">
      <c r="B6" t="s">
        <v>12</v>
      </c>
      <c r="C6" s="3">
        <v>280</v>
      </c>
      <c r="D6" s="3">
        <v>314</v>
      </c>
      <c r="E6" s="3">
        <v>313</v>
      </c>
      <c r="F6" s="3">
        <v>429</v>
      </c>
      <c r="G6" s="3">
        <v>332</v>
      </c>
      <c r="H6" s="3">
        <v>309</v>
      </c>
      <c r="I6" s="3">
        <v>297</v>
      </c>
      <c r="J6" s="3">
        <v>403</v>
      </c>
      <c r="K6" s="3">
        <v>293</v>
      </c>
      <c r="L6" s="3">
        <v>338</v>
      </c>
      <c r="M6" s="3">
        <v>378</v>
      </c>
      <c r="N6" s="3">
        <v>551</v>
      </c>
      <c r="O6" s="3">
        <v>306</v>
      </c>
      <c r="P6" s="3">
        <v>381</v>
      </c>
      <c r="Q6" s="3">
        <f t="shared" ref="Q6" si="8">Q3*0.04</f>
        <v>391.6</v>
      </c>
      <c r="R6" s="3">
        <f>R3*0.06</f>
        <v>617.41139999999996</v>
      </c>
      <c r="T6" s="3">
        <v>1105</v>
      </c>
      <c r="U6" s="3">
        <v>971</v>
      </c>
      <c r="V6" s="3">
        <v>1136</v>
      </c>
      <c r="W6" s="3">
        <f t="shared" ref="W6:W11" si="9">SUM(C6:F6)</f>
        <v>1336</v>
      </c>
      <c r="X6" s="3">
        <f t="shared" ref="X6:X11" si="10">SUM(G6:J6)</f>
        <v>1341</v>
      </c>
      <c r="Y6" s="3">
        <f t="shared" ref="Y6:Y11" si="11">SUM(K6:N6)</f>
        <v>1560</v>
      </c>
      <c r="Z6" s="3">
        <f t="shared" ref="Z6:Z11" si="12">SUM(O6:R6)</f>
        <v>1696.0113999999999</v>
      </c>
      <c r="AA6" s="3">
        <f t="shared" ref="AA6:AJ6" si="13">AA3*0.04</f>
        <v>1677.0833320000002</v>
      </c>
      <c r="AB6" s="3">
        <f t="shared" si="13"/>
        <v>1760.9374986000005</v>
      </c>
      <c r="AC6" s="3">
        <f t="shared" si="13"/>
        <v>1813.7656235580005</v>
      </c>
      <c r="AD6" s="3">
        <f t="shared" si="13"/>
        <v>1850.0409360291605</v>
      </c>
      <c r="AE6" s="3">
        <f t="shared" si="13"/>
        <v>1887.0417547497439</v>
      </c>
      <c r="AF6" s="3">
        <f t="shared" si="13"/>
        <v>1924.7825898447388</v>
      </c>
      <c r="AG6" s="3">
        <f t="shared" si="13"/>
        <v>1963.2782416416335</v>
      </c>
      <c r="AH6" s="3">
        <f t="shared" si="13"/>
        <v>2002.5438064744662</v>
      </c>
      <c r="AI6" s="3">
        <f t="shared" si="13"/>
        <v>2042.5946826039556</v>
      </c>
      <c r="AJ6" s="3">
        <f t="shared" si="13"/>
        <v>2083.4465762560349</v>
      </c>
    </row>
    <row r="7" spans="1:36" x14ac:dyDescent="0.3">
      <c r="B7" t="s">
        <v>13</v>
      </c>
      <c r="C7" s="3">
        <v>190</v>
      </c>
      <c r="D7" s="3">
        <v>190</v>
      </c>
      <c r="E7" s="3">
        <v>178</v>
      </c>
      <c r="F7" s="3">
        <v>185</v>
      </c>
      <c r="G7" s="3">
        <v>178</v>
      </c>
      <c r="H7" s="3">
        <v>179</v>
      </c>
      <c r="I7" s="3">
        <v>182</v>
      </c>
      <c r="J7" s="3">
        <v>197</v>
      </c>
      <c r="K7" s="3">
        <v>181</v>
      </c>
      <c r="L7" s="3">
        <v>189</v>
      </c>
      <c r="M7" s="3">
        <v>200</v>
      </c>
      <c r="N7" s="3">
        <v>208</v>
      </c>
      <c r="O7" s="3">
        <v>207</v>
      </c>
      <c r="P7" s="3">
        <v>224</v>
      </c>
      <c r="Q7" s="3">
        <f t="shared" ref="Q7:R7" si="14">M7*1.1</f>
        <v>220.00000000000003</v>
      </c>
      <c r="R7" s="3">
        <f t="shared" si="14"/>
        <v>228.8</v>
      </c>
      <c r="T7" s="3">
        <v>721</v>
      </c>
      <c r="U7" s="3">
        <v>727</v>
      </c>
      <c r="V7" s="3">
        <v>730</v>
      </c>
      <c r="W7" s="3">
        <f t="shared" si="9"/>
        <v>743</v>
      </c>
      <c r="X7" s="3">
        <f t="shared" si="10"/>
        <v>736</v>
      </c>
      <c r="Y7" s="3">
        <f t="shared" si="11"/>
        <v>778</v>
      </c>
      <c r="Z7" s="3">
        <f t="shared" si="12"/>
        <v>879.8</v>
      </c>
      <c r="AA7" s="3">
        <f>Z7*1.06</f>
        <v>932.58799999999997</v>
      </c>
      <c r="AB7" s="3">
        <f>AA7*1.04</f>
        <v>969.89152000000001</v>
      </c>
      <c r="AC7" s="3">
        <f>AB7*1.03</f>
        <v>998.98826560000009</v>
      </c>
      <c r="AD7" s="3">
        <f>AC7*1.02</f>
        <v>1018.9680309120001</v>
      </c>
      <c r="AE7" s="3">
        <f t="shared" ref="AE7:AJ7" si="15">AD7*1.01</f>
        <v>1029.1577112211201</v>
      </c>
      <c r="AF7" s="3">
        <f t="shared" si="15"/>
        <v>1039.4492883333312</v>
      </c>
      <c r="AG7" s="3">
        <f t="shared" si="15"/>
        <v>1049.8437812166644</v>
      </c>
      <c r="AH7" s="3">
        <f t="shared" si="15"/>
        <v>1060.3422190288311</v>
      </c>
      <c r="AI7" s="3">
        <f t="shared" si="15"/>
        <v>1070.9456412191194</v>
      </c>
      <c r="AJ7" s="3">
        <f t="shared" si="15"/>
        <v>1081.6550976313106</v>
      </c>
    </row>
    <row r="8" spans="1:36" x14ac:dyDescent="0.3">
      <c r="B8" t="s">
        <v>14</v>
      </c>
      <c r="C8" s="3">
        <v>100</v>
      </c>
      <c r="D8" s="3">
        <v>125</v>
      </c>
      <c r="E8" s="3">
        <v>117</v>
      </c>
      <c r="F8" s="3">
        <v>163</v>
      </c>
      <c r="G8" s="3">
        <v>109</v>
      </c>
      <c r="H8" s="3">
        <v>130</v>
      </c>
      <c r="I8" s="3">
        <v>133</v>
      </c>
      <c r="J8" s="3">
        <v>173</v>
      </c>
      <c r="K8" s="3">
        <v>131</v>
      </c>
      <c r="L8" s="3">
        <v>160</v>
      </c>
      <c r="M8" s="3">
        <v>152</v>
      </c>
      <c r="N8" s="3">
        <v>192</v>
      </c>
      <c r="O8" s="3">
        <v>143</v>
      </c>
      <c r="P8" s="3">
        <v>173</v>
      </c>
      <c r="Q8" s="3">
        <f t="shared" ref="Q8:R8" si="16">Q3*0.02</f>
        <v>195.8</v>
      </c>
      <c r="R8" s="3">
        <f t="shared" si="16"/>
        <v>205.80380000000002</v>
      </c>
      <c r="T8" s="3">
        <v>454</v>
      </c>
      <c r="U8" s="3">
        <v>408</v>
      </c>
      <c r="V8" s="3">
        <v>403</v>
      </c>
      <c r="W8" s="3">
        <f t="shared" si="9"/>
        <v>505</v>
      </c>
      <c r="X8" s="3">
        <f t="shared" si="10"/>
        <v>545</v>
      </c>
      <c r="Y8" s="3">
        <f t="shared" si="11"/>
        <v>635</v>
      </c>
      <c r="Z8" s="3">
        <f t="shared" si="12"/>
        <v>717.60380000000009</v>
      </c>
      <c r="AA8" s="3">
        <f t="shared" ref="AA8:AJ8" si="17">AA3*0.02</f>
        <v>838.54166600000008</v>
      </c>
      <c r="AB8" s="3">
        <f t="shared" si="17"/>
        <v>880.46874930000024</v>
      </c>
      <c r="AC8" s="3">
        <f t="shared" si="17"/>
        <v>906.88281177900024</v>
      </c>
      <c r="AD8" s="3">
        <f t="shared" si="17"/>
        <v>925.02046801458027</v>
      </c>
      <c r="AE8" s="3">
        <f t="shared" si="17"/>
        <v>943.52087737487193</v>
      </c>
      <c r="AF8" s="3">
        <f t="shared" si="17"/>
        <v>962.39129492236941</v>
      </c>
      <c r="AG8" s="3">
        <f t="shared" si="17"/>
        <v>981.63912082081674</v>
      </c>
      <c r="AH8" s="3">
        <f t="shared" si="17"/>
        <v>1001.2719032372331</v>
      </c>
      <c r="AI8" s="3">
        <f t="shared" si="17"/>
        <v>1021.2973413019778</v>
      </c>
      <c r="AJ8" s="3">
        <f t="shared" si="17"/>
        <v>1041.7232881280174</v>
      </c>
    </row>
    <row r="9" spans="1:36" x14ac:dyDescent="0.3">
      <c r="B9" t="s">
        <v>15</v>
      </c>
      <c r="C9" s="3">
        <v>198</v>
      </c>
      <c r="D9" s="3">
        <v>207</v>
      </c>
      <c r="E9" s="3">
        <v>230</v>
      </c>
      <c r="F9" s="3">
        <v>226</v>
      </c>
      <c r="G9" s="3">
        <v>227</v>
      </c>
      <c r="H9" s="3">
        <v>234</v>
      </c>
      <c r="I9" s="3">
        <v>235</v>
      </c>
      <c r="J9" s="3">
        <v>247</v>
      </c>
      <c r="K9" s="3">
        <v>247</v>
      </c>
      <c r="L9" s="3">
        <v>249</v>
      </c>
      <c r="M9" s="3">
        <v>264</v>
      </c>
      <c r="N9" s="3">
        <v>274</v>
      </c>
      <c r="O9" s="3">
        <v>282</v>
      </c>
      <c r="P9" s="3">
        <v>305</v>
      </c>
      <c r="Q9" s="3">
        <f>M9*1.16</f>
        <v>306.23999999999995</v>
      </c>
      <c r="R9" s="3">
        <f>N9*1.15</f>
        <v>315.09999999999997</v>
      </c>
      <c r="T9" s="3">
        <v>656</v>
      </c>
      <c r="U9" s="3">
        <v>767</v>
      </c>
      <c r="V9" s="3">
        <v>804</v>
      </c>
      <c r="W9" s="3">
        <f t="shared" si="9"/>
        <v>861</v>
      </c>
      <c r="X9" s="3">
        <f t="shared" si="10"/>
        <v>943</v>
      </c>
      <c r="Y9" s="3">
        <f t="shared" si="11"/>
        <v>1034</v>
      </c>
      <c r="Z9" s="3">
        <f t="shared" si="12"/>
        <v>1208.3399999999999</v>
      </c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x14ac:dyDescent="0.3">
      <c r="B10" t="s">
        <v>16</v>
      </c>
      <c r="C10" s="3">
        <v>242</v>
      </c>
      <c r="D10" s="3">
        <v>325</v>
      </c>
      <c r="E10" s="3">
        <v>289</v>
      </c>
      <c r="F10" s="3">
        <v>338</v>
      </c>
      <c r="G10" s="3">
        <v>322</v>
      </c>
      <c r="H10" s="3">
        <v>282</v>
      </c>
      <c r="I10" s="3">
        <v>314</v>
      </c>
      <c r="J10" s="3">
        <v>412</v>
      </c>
      <c r="K10" s="3">
        <v>340</v>
      </c>
      <c r="L10" s="3">
        <v>452</v>
      </c>
      <c r="M10" s="3">
        <v>382</v>
      </c>
      <c r="N10" s="3">
        <v>424</v>
      </c>
      <c r="O10" s="3">
        <v>481</v>
      </c>
      <c r="P10" s="3">
        <v>419</v>
      </c>
      <c r="Q10" s="3">
        <f>M10*1.15</f>
        <v>439.29999999999995</v>
      </c>
      <c r="R10" s="3">
        <f>N10*1.15</f>
        <v>487.59999999999997</v>
      </c>
      <c r="T10" s="3">
        <v>1196</v>
      </c>
      <c r="U10" s="3">
        <v>1096</v>
      </c>
      <c r="V10" s="3">
        <v>985</v>
      </c>
      <c r="W10" s="3">
        <f t="shared" si="9"/>
        <v>1194</v>
      </c>
      <c r="X10" s="3">
        <f t="shared" si="10"/>
        <v>1330</v>
      </c>
      <c r="Y10" s="3">
        <f t="shared" si="11"/>
        <v>1598</v>
      </c>
      <c r="Z10" s="3">
        <f t="shared" si="12"/>
        <v>1826.8999999999999</v>
      </c>
      <c r="AA10" s="3">
        <f>Z10*1.05</f>
        <v>1918.2449999999999</v>
      </c>
      <c r="AB10" s="3">
        <f>AA10*1.03</f>
        <v>1975.7923499999999</v>
      </c>
      <c r="AC10" s="3">
        <f>AB10*1.02</f>
        <v>2015.3081970000001</v>
      </c>
      <c r="AD10" s="3">
        <f t="shared" ref="AD10" si="18">AC10*1.02</f>
        <v>2055.6143609400001</v>
      </c>
      <c r="AE10" s="3">
        <f>AD10*1.01</f>
        <v>2076.1705045494</v>
      </c>
      <c r="AF10" s="3">
        <f t="shared" ref="AF10:AJ10" si="19">AE10*1.01</f>
        <v>2096.9322095948942</v>
      </c>
      <c r="AG10" s="3">
        <f t="shared" si="19"/>
        <v>2117.9015316908431</v>
      </c>
      <c r="AH10" s="3">
        <f t="shared" si="19"/>
        <v>2139.0805470077516</v>
      </c>
      <c r="AI10" s="3">
        <f t="shared" si="19"/>
        <v>2160.471352477829</v>
      </c>
      <c r="AJ10" s="3">
        <f t="shared" si="19"/>
        <v>2182.0760660026071</v>
      </c>
    </row>
    <row r="11" spans="1:36" x14ac:dyDescent="0.3">
      <c r="B11" t="s">
        <v>17</v>
      </c>
      <c r="C11" s="3">
        <v>148</v>
      </c>
      <c r="D11" s="3">
        <v>0</v>
      </c>
      <c r="E11" s="3">
        <v>717</v>
      </c>
      <c r="F11" s="3">
        <v>3</v>
      </c>
      <c r="G11" s="3">
        <v>341</v>
      </c>
      <c r="H11" s="3">
        <v>0</v>
      </c>
      <c r="I11" s="3">
        <v>457</v>
      </c>
      <c r="J11" s="3">
        <v>129</v>
      </c>
      <c r="K11" s="3">
        <v>9</v>
      </c>
      <c r="L11" s="3">
        <v>430</v>
      </c>
      <c r="M11" s="3">
        <v>13</v>
      </c>
      <c r="N11" s="3">
        <v>10</v>
      </c>
      <c r="O11" s="3">
        <v>44</v>
      </c>
      <c r="P11" s="3">
        <v>1000</v>
      </c>
      <c r="Q11" s="3">
        <v>1000</v>
      </c>
      <c r="R11" s="3">
        <f>R3*0.04</f>
        <v>411.60760000000005</v>
      </c>
      <c r="T11" s="3">
        <v>400</v>
      </c>
      <c r="U11" s="3">
        <v>11</v>
      </c>
      <c r="V11" s="3">
        <v>3</v>
      </c>
      <c r="W11" s="3">
        <f t="shared" si="9"/>
        <v>868</v>
      </c>
      <c r="X11" s="3">
        <f t="shared" si="10"/>
        <v>927</v>
      </c>
      <c r="Y11" s="3">
        <f t="shared" si="11"/>
        <v>462</v>
      </c>
      <c r="Z11" s="3">
        <f t="shared" si="12"/>
        <v>2455.6076000000003</v>
      </c>
      <c r="AA11" s="3">
        <f>AA3*0.01</f>
        <v>419.27083300000004</v>
      </c>
      <c r="AB11" s="3">
        <f t="shared" ref="AB11:AJ11" si="20">AB3*0.01</f>
        <v>440.23437465000012</v>
      </c>
      <c r="AC11" s="3">
        <f t="shared" si="20"/>
        <v>453.44140588950012</v>
      </c>
      <c r="AD11" s="3">
        <f t="shared" si="20"/>
        <v>462.51023400729014</v>
      </c>
      <c r="AE11" s="3">
        <f t="shared" si="20"/>
        <v>471.76043868743596</v>
      </c>
      <c r="AF11" s="3">
        <f t="shared" si="20"/>
        <v>481.19564746118471</v>
      </c>
      <c r="AG11" s="3">
        <f t="shared" si="20"/>
        <v>490.81956041040837</v>
      </c>
      <c r="AH11" s="3">
        <f t="shared" si="20"/>
        <v>500.63595161861656</v>
      </c>
      <c r="AI11" s="3">
        <f t="shared" si="20"/>
        <v>510.64867065098889</v>
      </c>
      <c r="AJ11" s="3">
        <f t="shared" si="20"/>
        <v>520.86164406400871</v>
      </c>
    </row>
    <row r="12" spans="1:36" x14ac:dyDescent="0.3">
      <c r="B12" t="s">
        <v>18</v>
      </c>
      <c r="C12" s="3">
        <f t="shared" ref="C12:L12" si="21">SUM(C6:C11)</f>
        <v>1158</v>
      </c>
      <c r="D12" s="3">
        <f t="shared" si="21"/>
        <v>1161</v>
      </c>
      <c r="E12" s="3">
        <f t="shared" si="21"/>
        <v>1844</v>
      </c>
      <c r="F12" s="3">
        <f t="shared" si="21"/>
        <v>1344</v>
      </c>
      <c r="G12" s="3">
        <f t="shared" si="21"/>
        <v>1509</v>
      </c>
      <c r="H12" s="3">
        <f t="shared" si="21"/>
        <v>1134</v>
      </c>
      <c r="I12" s="3">
        <f t="shared" si="21"/>
        <v>1618</v>
      </c>
      <c r="J12" s="3">
        <f t="shared" si="21"/>
        <v>1561</v>
      </c>
      <c r="K12" s="3">
        <f t="shared" si="21"/>
        <v>1201</v>
      </c>
      <c r="L12" s="3">
        <f t="shared" si="21"/>
        <v>1818</v>
      </c>
      <c r="M12" s="3">
        <f t="shared" ref="M12:N12" si="22">SUM(M6:M11)</f>
        <v>1389</v>
      </c>
      <c r="N12" s="3">
        <f t="shared" si="22"/>
        <v>1659</v>
      </c>
      <c r="O12" s="3">
        <f t="shared" ref="O12:R12" si="23">SUM(O6:O11)</f>
        <v>1463</v>
      </c>
      <c r="P12" s="3">
        <f t="shared" si="23"/>
        <v>2502</v>
      </c>
      <c r="Q12" s="3">
        <f t="shared" si="23"/>
        <v>2552.94</v>
      </c>
      <c r="R12" s="3">
        <f t="shared" si="23"/>
        <v>2266.3227999999999</v>
      </c>
      <c r="T12" s="3">
        <f t="shared" ref="T12:Y12" si="24">SUM(T6:T11)</f>
        <v>4532</v>
      </c>
      <c r="U12" s="3">
        <f t="shared" si="24"/>
        <v>3980</v>
      </c>
      <c r="V12" s="3">
        <f t="shared" si="24"/>
        <v>4061</v>
      </c>
      <c r="W12" s="3">
        <f t="shared" si="24"/>
        <v>5507</v>
      </c>
      <c r="X12" s="3">
        <f t="shared" si="24"/>
        <v>5822</v>
      </c>
      <c r="Y12" s="3">
        <f t="shared" si="24"/>
        <v>6067</v>
      </c>
      <c r="Z12" s="3">
        <f t="shared" ref="Z12:AJ12" si="25">SUM(Z6:Z11)</f>
        <v>8784.2628000000004</v>
      </c>
      <c r="AA12" s="3">
        <f t="shared" si="25"/>
        <v>5785.7288310000004</v>
      </c>
      <c r="AB12" s="3">
        <f t="shared" si="25"/>
        <v>6027.3244925500003</v>
      </c>
      <c r="AC12" s="3">
        <f t="shared" si="25"/>
        <v>6188.3863038265008</v>
      </c>
      <c r="AD12" s="3">
        <f t="shared" si="25"/>
        <v>6312.1540299030312</v>
      </c>
      <c r="AE12" s="3">
        <f t="shared" si="25"/>
        <v>6407.6512865825725</v>
      </c>
      <c r="AF12" s="3">
        <f t="shared" si="25"/>
        <v>6504.751030156518</v>
      </c>
      <c r="AG12" s="3">
        <f t="shared" si="25"/>
        <v>6603.4822357803669</v>
      </c>
      <c r="AH12" s="3">
        <f t="shared" si="25"/>
        <v>6703.8744273668981</v>
      </c>
      <c r="AI12" s="3">
        <f t="shared" si="25"/>
        <v>6805.9576882538704</v>
      </c>
      <c r="AJ12" s="3">
        <f t="shared" si="25"/>
        <v>6909.762672081979</v>
      </c>
    </row>
    <row r="13" spans="1:36" s="6" customFormat="1" x14ac:dyDescent="0.3">
      <c r="A13"/>
      <c r="B13" s="6" t="s">
        <v>19</v>
      </c>
      <c r="C13" s="7">
        <f t="shared" ref="C13:L13" si="26">C5-C12</f>
        <v>4776</v>
      </c>
      <c r="D13" s="7">
        <f t="shared" si="26"/>
        <v>4802</v>
      </c>
      <c r="E13" s="7">
        <f t="shared" si="26"/>
        <v>4148</v>
      </c>
      <c r="F13" s="7">
        <f t="shared" si="26"/>
        <v>5087</v>
      </c>
      <c r="G13" s="7">
        <f t="shared" si="26"/>
        <v>5090</v>
      </c>
      <c r="H13" s="7">
        <f t="shared" si="26"/>
        <v>5336</v>
      </c>
      <c r="I13" s="7">
        <f t="shared" si="26"/>
        <v>5024</v>
      </c>
      <c r="J13" s="7">
        <f t="shared" si="26"/>
        <v>5550</v>
      </c>
      <c r="K13" s="7">
        <f t="shared" si="26"/>
        <v>5954</v>
      </c>
      <c r="L13" s="7">
        <f t="shared" si="26"/>
        <v>5354</v>
      </c>
      <c r="M13" s="7">
        <f t="shared" ref="M13:N13" si="27">M5-M12</f>
        <v>5938</v>
      </c>
      <c r="N13" s="7">
        <f t="shared" si="27"/>
        <v>6349</v>
      </c>
      <c r="O13" s="7">
        <f t="shared" ref="O13:R13" si="28">O5-O12</f>
        <v>6234</v>
      </c>
      <c r="P13" s="7">
        <f t="shared" si="28"/>
        <v>5435</v>
      </c>
      <c r="Q13" s="7">
        <f t="shared" si="28"/>
        <v>5474.8599999999988</v>
      </c>
      <c r="R13" s="7">
        <f t="shared" si="28"/>
        <v>6171.6329999999998</v>
      </c>
      <c r="T13" s="7">
        <f t="shared" ref="T13:Y13" si="29">T5-T12</f>
        <v>15001</v>
      </c>
      <c r="U13" s="7">
        <f t="shared" si="29"/>
        <v>14081</v>
      </c>
      <c r="V13" s="7">
        <f t="shared" si="29"/>
        <v>15804</v>
      </c>
      <c r="W13" s="7">
        <f t="shared" si="29"/>
        <v>18813</v>
      </c>
      <c r="X13" s="7">
        <f t="shared" si="29"/>
        <v>21000</v>
      </c>
      <c r="Y13" s="7">
        <f t="shared" si="29"/>
        <v>23595</v>
      </c>
      <c r="Z13" s="7">
        <f t="shared" ref="Z13:AJ13" si="30">Z5-Z12</f>
        <v>23315.492999999999</v>
      </c>
      <c r="AA13" s="7">
        <f t="shared" si="30"/>
        <v>29013.750308000002</v>
      </c>
      <c r="AB13" s="7">
        <f t="shared" si="30"/>
        <v>30512.128603400004</v>
      </c>
      <c r="AC13" s="7">
        <f t="shared" si="30"/>
        <v>31447.250385002004</v>
      </c>
      <c r="AD13" s="7">
        <f t="shared" si="30"/>
        <v>32076.195392702044</v>
      </c>
      <c r="AE13" s="7">
        <f t="shared" si="30"/>
        <v>32748.465124474613</v>
      </c>
      <c r="AF13" s="7">
        <f t="shared" si="30"/>
        <v>33434.487709121808</v>
      </c>
      <c r="AG13" s="7">
        <f t="shared" si="30"/>
        <v>34134.541278283526</v>
      </c>
      <c r="AH13" s="7">
        <f t="shared" si="30"/>
        <v>34848.909556978273</v>
      </c>
      <c r="AI13" s="7">
        <f t="shared" si="30"/>
        <v>35577.881975778204</v>
      </c>
      <c r="AJ13" s="7">
        <f t="shared" si="30"/>
        <v>36321.753785230743</v>
      </c>
    </row>
    <row r="14" spans="1:36" x14ac:dyDescent="0.3">
      <c r="B14" t="s">
        <v>20</v>
      </c>
      <c r="C14" s="3">
        <v>134</v>
      </c>
      <c r="D14" s="3">
        <v>134</v>
      </c>
      <c r="E14" s="3">
        <v>111</v>
      </c>
      <c r="F14" s="3">
        <v>159</v>
      </c>
      <c r="G14" s="3">
        <v>137</v>
      </c>
      <c r="H14" s="3">
        <v>142</v>
      </c>
      <c r="I14" s="3">
        <v>182</v>
      </c>
      <c r="J14" s="3">
        <v>183</v>
      </c>
      <c r="K14" s="3">
        <v>187</v>
      </c>
      <c r="L14" s="3">
        <v>82</v>
      </c>
      <c r="M14" s="3">
        <v>196</v>
      </c>
      <c r="N14" s="3">
        <v>176</v>
      </c>
      <c r="O14" s="3">
        <v>182</v>
      </c>
      <c r="P14" s="3">
        <v>158</v>
      </c>
      <c r="Q14" s="3">
        <v>185</v>
      </c>
      <c r="R14" s="3">
        <v>185</v>
      </c>
      <c r="T14" s="3">
        <v>533</v>
      </c>
      <c r="U14" s="3">
        <v>516</v>
      </c>
      <c r="V14" s="3">
        <v>513</v>
      </c>
      <c r="W14" s="3">
        <f>SUM(C14:F14)</f>
        <v>538</v>
      </c>
      <c r="X14" s="3">
        <f>SUM(G14:J14)</f>
        <v>644</v>
      </c>
      <c r="Y14" s="3">
        <f>SUM(K14:N14)</f>
        <v>641</v>
      </c>
      <c r="Z14" s="3">
        <f>SUM(O14:R14)</f>
        <v>710</v>
      </c>
      <c r="AA14" s="3">
        <f t="shared" ref="AA14:AJ14" si="31">Z14*1.03</f>
        <v>731.30000000000007</v>
      </c>
      <c r="AB14" s="3">
        <f t="shared" si="31"/>
        <v>753.23900000000015</v>
      </c>
      <c r="AC14" s="3">
        <f t="shared" si="31"/>
        <v>775.83617000000015</v>
      </c>
      <c r="AD14" s="3">
        <f t="shared" si="31"/>
        <v>799.11125510000022</v>
      </c>
      <c r="AE14" s="3">
        <f t="shared" si="31"/>
        <v>823.08459275300027</v>
      </c>
      <c r="AF14" s="3">
        <f t="shared" si="31"/>
        <v>847.77713053559035</v>
      </c>
      <c r="AG14" s="3">
        <f t="shared" si="31"/>
        <v>873.21044445165808</v>
      </c>
      <c r="AH14" s="3">
        <f t="shared" si="31"/>
        <v>899.40675778520779</v>
      </c>
      <c r="AI14" s="3">
        <f t="shared" si="31"/>
        <v>926.38896051876407</v>
      </c>
      <c r="AJ14" s="3">
        <f t="shared" si="31"/>
        <v>954.18062933432702</v>
      </c>
    </row>
    <row r="15" spans="1:36" x14ac:dyDescent="0.3">
      <c r="B15" t="s">
        <v>21</v>
      </c>
      <c r="C15" s="3">
        <v>-255</v>
      </c>
      <c r="D15" s="3">
        <v>126</v>
      </c>
      <c r="E15" s="3">
        <v>208</v>
      </c>
      <c r="F15" s="3">
        <v>60</v>
      </c>
      <c r="G15" s="3">
        <v>-24</v>
      </c>
      <c r="H15" s="3">
        <v>-84</v>
      </c>
      <c r="I15" s="3">
        <v>-304</v>
      </c>
      <c r="J15" s="3">
        <v>-269</v>
      </c>
      <c r="K15" s="3">
        <v>-275</v>
      </c>
      <c r="L15" s="3">
        <v>-241</v>
      </c>
      <c r="M15" s="3">
        <v>-247</v>
      </c>
      <c r="N15" s="3">
        <v>-199</v>
      </c>
      <c r="O15" s="3">
        <v>-148</v>
      </c>
      <c r="P15" s="3">
        <v>-161</v>
      </c>
      <c r="Q15" s="3">
        <v>-200</v>
      </c>
      <c r="R15" s="3">
        <v>-200</v>
      </c>
      <c r="T15" s="3">
        <v>-416</v>
      </c>
      <c r="U15" s="3">
        <v>-225</v>
      </c>
      <c r="V15" s="3">
        <v>-772</v>
      </c>
      <c r="W15" s="3">
        <f>SUM(C15:F15)</f>
        <v>139</v>
      </c>
      <c r="X15" s="3">
        <f>SUM(G15:J15)</f>
        <v>-681</v>
      </c>
      <c r="Y15" s="3">
        <f>SUM(K15:N15)</f>
        <v>-962</v>
      </c>
      <c r="Z15" s="3">
        <f>SUM(O15:R15)</f>
        <v>-709</v>
      </c>
      <c r="AA15" s="3">
        <f t="shared" ref="AA15:AJ15" si="32">Z15*1.01</f>
        <v>-716.09</v>
      </c>
      <c r="AB15" s="3">
        <f t="shared" si="32"/>
        <v>-723.2509</v>
      </c>
      <c r="AC15" s="3">
        <f t="shared" si="32"/>
        <v>-730.48340900000005</v>
      </c>
      <c r="AD15" s="3">
        <f t="shared" si="32"/>
        <v>-737.78824309000004</v>
      </c>
      <c r="AE15" s="3">
        <f t="shared" si="32"/>
        <v>-745.1661255209001</v>
      </c>
      <c r="AF15" s="3">
        <f t="shared" si="32"/>
        <v>-752.61778677610914</v>
      </c>
      <c r="AG15" s="3">
        <f t="shared" si="32"/>
        <v>-760.14396464387028</v>
      </c>
      <c r="AH15" s="3">
        <f t="shared" si="32"/>
        <v>-767.74540429030901</v>
      </c>
      <c r="AI15" s="3">
        <f t="shared" si="32"/>
        <v>-775.42285833321216</v>
      </c>
      <c r="AJ15" s="3">
        <f t="shared" si="32"/>
        <v>-783.17708691654434</v>
      </c>
    </row>
    <row r="16" spans="1:36" s="6" customFormat="1" x14ac:dyDescent="0.3">
      <c r="A16"/>
      <c r="B16" s="6" t="s">
        <v>22</v>
      </c>
      <c r="C16" s="7">
        <f t="shared" ref="C16:L16" si="33">C13-C14-C15</f>
        <v>4897</v>
      </c>
      <c r="D16" s="7">
        <f t="shared" si="33"/>
        <v>4542</v>
      </c>
      <c r="E16" s="7">
        <f t="shared" si="33"/>
        <v>3829</v>
      </c>
      <c r="F16" s="7">
        <f t="shared" si="33"/>
        <v>4868</v>
      </c>
      <c r="G16" s="7">
        <f t="shared" si="33"/>
        <v>4977</v>
      </c>
      <c r="H16" s="7">
        <f t="shared" si="33"/>
        <v>5278</v>
      </c>
      <c r="I16" s="7">
        <f t="shared" si="33"/>
        <v>5146</v>
      </c>
      <c r="J16" s="7">
        <f t="shared" si="33"/>
        <v>5636</v>
      </c>
      <c r="K16" s="7">
        <f t="shared" si="33"/>
        <v>6042</v>
      </c>
      <c r="L16" s="7">
        <f t="shared" si="33"/>
        <v>5513</v>
      </c>
      <c r="M16" s="7">
        <f t="shared" ref="M16:N16" si="34">M13-M14-M15</f>
        <v>5989</v>
      </c>
      <c r="N16" s="7">
        <f t="shared" si="34"/>
        <v>6372</v>
      </c>
      <c r="O16" s="7">
        <f t="shared" ref="O16:R16" si="35">O13-O14-O15</f>
        <v>6200</v>
      </c>
      <c r="P16" s="7">
        <f t="shared" si="35"/>
        <v>5438</v>
      </c>
      <c r="Q16" s="7">
        <f t="shared" si="35"/>
        <v>5489.8599999999988</v>
      </c>
      <c r="R16" s="7">
        <f t="shared" si="35"/>
        <v>6186.6329999999998</v>
      </c>
      <c r="T16" s="7">
        <f t="shared" ref="T16:Z16" si="36">T13-T14-T15</f>
        <v>14884</v>
      </c>
      <c r="U16" s="7">
        <f t="shared" si="36"/>
        <v>13790</v>
      </c>
      <c r="V16" s="7">
        <f t="shared" si="36"/>
        <v>16063</v>
      </c>
      <c r="W16" s="7">
        <f t="shared" si="36"/>
        <v>18136</v>
      </c>
      <c r="X16" s="7">
        <f t="shared" si="36"/>
        <v>21037</v>
      </c>
      <c r="Y16" s="7">
        <f t="shared" si="36"/>
        <v>23916</v>
      </c>
      <c r="Z16" s="7">
        <f t="shared" si="36"/>
        <v>23314.492999999999</v>
      </c>
      <c r="AA16" s="7">
        <f t="shared" ref="AA16:AJ16" si="37">AA13-AA14-AA15</f>
        <v>28998.540308000003</v>
      </c>
      <c r="AB16" s="7">
        <f t="shared" si="37"/>
        <v>30482.140503400002</v>
      </c>
      <c r="AC16" s="7">
        <f t="shared" si="37"/>
        <v>31401.897624002006</v>
      </c>
      <c r="AD16" s="7">
        <f t="shared" si="37"/>
        <v>32014.872380692042</v>
      </c>
      <c r="AE16" s="7">
        <f t="shared" si="37"/>
        <v>32670.546657242514</v>
      </c>
      <c r="AF16" s="7">
        <f t="shared" si="37"/>
        <v>33339.328365362329</v>
      </c>
      <c r="AG16" s="7">
        <f t="shared" si="37"/>
        <v>34021.474798475741</v>
      </c>
      <c r="AH16" s="7">
        <f t="shared" si="37"/>
        <v>34717.248203483374</v>
      </c>
      <c r="AI16" s="7">
        <f t="shared" si="37"/>
        <v>35426.915873592654</v>
      </c>
      <c r="AJ16" s="7">
        <f t="shared" si="37"/>
        <v>36150.750242812959</v>
      </c>
    </row>
    <row r="17" spans="1:147" x14ac:dyDescent="0.3">
      <c r="B17" t="s">
        <v>23</v>
      </c>
      <c r="C17" s="3">
        <v>838</v>
      </c>
      <c r="D17" s="3">
        <v>895</v>
      </c>
      <c r="E17" s="3">
        <v>418</v>
      </c>
      <c r="F17" s="3">
        <v>928</v>
      </c>
      <c r="G17" s="3">
        <v>798</v>
      </c>
      <c r="H17" s="3">
        <v>1021</v>
      </c>
      <c r="I17" s="3">
        <v>990</v>
      </c>
      <c r="J17" s="3">
        <v>955</v>
      </c>
      <c r="K17" s="3">
        <v>1152</v>
      </c>
      <c r="L17" s="3">
        <v>850</v>
      </c>
      <c r="M17" s="3">
        <v>1117</v>
      </c>
      <c r="N17" s="3">
        <v>1054</v>
      </c>
      <c r="O17" s="3">
        <v>1081</v>
      </c>
      <c r="P17" s="3">
        <v>861</v>
      </c>
      <c r="Q17" s="3">
        <f t="shared" ref="Q17:R17" si="38">Q16*0.17</f>
        <v>933.2761999999999</v>
      </c>
      <c r="R17" s="3">
        <f t="shared" si="38"/>
        <v>1051.7276100000001</v>
      </c>
      <c r="T17" s="3">
        <v>2804</v>
      </c>
      <c r="U17" s="3">
        <v>2924</v>
      </c>
      <c r="V17" s="3">
        <v>3752</v>
      </c>
      <c r="W17" s="3">
        <f>SUM(C17:F17)</f>
        <v>3079</v>
      </c>
      <c r="X17" s="3">
        <f>SUM(G17:J17)</f>
        <v>3764</v>
      </c>
      <c r="Y17" s="3">
        <f>SUM(K17:N17)</f>
        <v>4173</v>
      </c>
      <c r="Z17" s="3">
        <f>SUM(O17:R17)</f>
        <v>3927.0038100000002</v>
      </c>
      <c r="AA17" s="3">
        <f t="shared" ref="AA17:AJ17" si="39">AA16*0.18</f>
        <v>5219.7372554400008</v>
      </c>
      <c r="AB17" s="3">
        <f t="shared" si="39"/>
        <v>5486.7852906119997</v>
      </c>
      <c r="AC17" s="3">
        <f t="shared" si="39"/>
        <v>5652.3415723203607</v>
      </c>
      <c r="AD17" s="3">
        <f t="shared" si="39"/>
        <v>5762.6770285245675</v>
      </c>
      <c r="AE17" s="3">
        <f t="shared" si="39"/>
        <v>5880.6983983036525</v>
      </c>
      <c r="AF17" s="3">
        <f t="shared" si="39"/>
        <v>6001.0791057652186</v>
      </c>
      <c r="AG17" s="3">
        <f t="shared" si="39"/>
        <v>6123.8654637256332</v>
      </c>
      <c r="AH17" s="3">
        <f t="shared" si="39"/>
        <v>6249.1046766270074</v>
      </c>
      <c r="AI17" s="3">
        <f t="shared" si="39"/>
        <v>6376.8448572466777</v>
      </c>
      <c r="AJ17" s="3">
        <f t="shared" si="39"/>
        <v>6507.135043706332</v>
      </c>
    </row>
    <row r="18" spans="1:147" s="6" customFormat="1" x14ac:dyDescent="0.3">
      <c r="A18"/>
      <c r="B18" s="6" t="s">
        <v>24</v>
      </c>
      <c r="C18" s="7">
        <f t="shared" ref="C18:L18" si="40">C16-C17</f>
        <v>4059</v>
      </c>
      <c r="D18" s="7">
        <f t="shared" si="40"/>
        <v>3647</v>
      </c>
      <c r="E18" s="7">
        <f t="shared" si="40"/>
        <v>3411</v>
      </c>
      <c r="F18" s="7">
        <f t="shared" si="40"/>
        <v>3940</v>
      </c>
      <c r="G18" s="7">
        <f t="shared" si="40"/>
        <v>4179</v>
      </c>
      <c r="H18" s="7">
        <f t="shared" si="40"/>
        <v>4257</v>
      </c>
      <c r="I18" s="7">
        <f t="shared" si="40"/>
        <v>4156</v>
      </c>
      <c r="J18" s="7">
        <f t="shared" si="40"/>
        <v>4681</v>
      </c>
      <c r="K18" s="7">
        <f t="shared" si="40"/>
        <v>4890</v>
      </c>
      <c r="L18" s="7">
        <f t="shared" si="40"/>
        <v>4663</v>
      </c>
      <c r="M18" s="7">
        <f t="shared" ref="M18:O18" si="41">M16-M17</f>
        <v>4872</v>
      </c>
      <c r="N18" s="7">
        <f t="shared" si="41"/>
        <v>5318</v>
      </c>
      <c r="O18" s="7">
        <f t="shared" si="41"/>
        <v>5119</v>
      </c>
      <c r="P18" s="7">
        <f t="shared" ref="P18:R18" si="42">P16-P17</f>
        <v>4577</v>
      </c>
      <c r="Q18" s="7">
        <f t="shared" si="42"/>
        <v>4556.5837999999985</v>
      </c>
      <c r="R18" s="7">
        <f t="shared" si="42"/>
        <v>5134.9053899999999</v>
      </c>
      <c r="T18" s="7">
        <f t="shared" ref="T18:Z18" si="43">T16-T17</f>
        <v>12080</v>
      </c>
      <c r="U18" s="7">
        <f t="shared" si="43"/>
        <v>10866</v>
      </c>
      <c r="V18" s="7">
        <f t="shared" si="43"/>
        <v>12311</v>
      </c>
      <c r="W18" s="7">
        <f t="shared" si="43"/>
        <v>15057</v>
      </c>
      <c r="X18" s="7">
        <f t="shared" si="43"/>
        <v>17273</v>
      </c>
      <c r="Y18" s="7">
        <f t="shared" si="43"/>
        <v>19743</v>
      </c>
      <c r="Z18" s="7">
        <f t="shared" si="43"/>
        <v>19387.48919</v>
      </c>
      <c r="AA18" s="7">
        <f t="shared" ref="AA18:AJ18" si="44">AA16-AA17</f>
        <v>23778.803052560004</v>
      </c>
      <c r="AB18" s="7">
        <f t="shared" si="44"/>
        <v>24995.355212788003</v>
      </c>
      <c r="AC18" s="7">
        <f t="shared" si="44"/>
        <v>25749.556051681644</v>
      </c>
      <c r="AD18" s="7">
        <f t="shared" si="44"/>
        <v>26252.195352167473</v>
      </c>
      <c r="AE18" s="7">
        <f t="shared" si="44"/>
        <v>26789.848258938862</v>
      </c>
      <c r="AF18" s="7">
        <f t="shared" si="44"/>
        <v>27338.249259597113</v>
      </c>
      <c r="AG18" s="7">
        <f t="shared" si="44"/>
        <v>27897.609334750108</v>
      </c>
      <c r="AH18" s="7">
        <f t="shared" si="44"/>
        <v>28468.143526856365</v>
      </c>
      <c r="AI18" s="7">
        <f t="shared" si="44"/>
        <v>29050.071016345977</v>
      </c>
      <c r="AJ18" s="7">
        <f t="shared" si="44"/>
        <v>29643.615199106629</v>
      </c>
      <c r="AK18" s="6">
        <f>AJ18+($AN$23*AJ18)</f>
        <v>29347.179047115562</v>
      </c>
      <c r="AL18" s="6">
        <f t="shared" ref="AL18:CW18" si="45">AK18+($AN$23*AK18)</f>
        <v>29053.707256644408</v>
      </c>
      <c r="AM18" s="6">
        <f t="shared" si="45"/>
        <v>28763.170184077964</v>
      </c>
      <c r="AN18" s="6">
        <f t="shared" si="45"/>
        <v>28475.538482237185</v>
      </c>
      <c r="AO18" s="6">
        <f t="shared" si="45"/>
        <v>28190.783097414813</v>
      </c>
      <c r="AP18" s="6">
        <f t="shared" si="45"/>
        <v>27908.875266440664</v>
      </c>
      <c r="AQ18" s="6">
        <f t="shared" si="45"/>
        <v>27629.786513776256</v>
      </c>
      <c r="AR18" s="6">
        <f t="shared" si="45"/>
        <v>27353.488648638493</v>
      </c>
      <c r="AS18" s="6">
        <f t="shared" si="45"/>
        <v>27079.953762152109</v>
      </c>
      <c r="AT18" s="6">
        <f t="shared" si="45"/>
        <v>26809.154224530586</v>
      </c>
      <c r="AU18" s="6">
        <f t="shared" si="45"/>
        <v>26541.062682285279</v>
      </c>
      <c r="AV18" s="6">
        <f t="shared" si="45"/>
        <v>26275.652055462426</v>
      </c>
      <c r="AW18" s="6">
        <f t="shared" si="45"/>
        <v>26012.895534907802</v>
      </c>
      <c r="AX18" s="6">
        <f t="shared" si="45"/>
        <v>25752.766579558724</v>
      </c>
      <c r="AY18" s="6">
        <f t="shared" si="45"/>
        <v>25495.238913763136</v>
      </c>
      <c r="AZ18" s="6">
        <f t="shared" si="45"/>
        <v>25240.286524625506</v>
      </c>
      <c r="BA18" s="6">
        <f t="shared" si="45"/>
        <v>24987.883659379251</v>
      </c>
      <c r="BB18" s="6">
        <f t="shared" si="45"/>
        <v>24738.00482278546</v>
      </c>
      <c r="BC18" s="6">
        <f t="shared" si="45"/>
        <v>24490.624774557607</v>
      </c>
      <c r="BD18" s="6">
        <f t="shared" si="45"/>
        <v>24245.71852681203</v>
      </c>
      <c r="BE18" s="6">
        <f t="shared" si="45"/>
        <v>24003.261341543908</v>
      </c>
      <c r="BF18" s="6">
        <f t="shared" si="45"/>
        <v>23763.22872812847</v>
      </c>
      <c r="BG18" s="6">
        <f t="shared" si="45"/>
        <v>23525.596440847185</v>
      </c>
      <c r="BH18" s="6">
        <f t="shared" si="45"/>
        <v>23290.340476438712</v>
      </c>
      <c r="BI18" s="6">
        <f t="shared" si="45"/>
        <v>23057.437071674325</v>
      </c>
      <c r="BJ18" s="6">
        <f t="shared" si="45"/>
        <v>22826.862700957583</v>
      </c>
      <c r="BK18" s="6">
        <f t="shared" si="45"/>
        <v>22598.594073948007</v>
      </c>
      <c r="BL18" s="6">
        <f t="shared" si="45"/>
        <v>22372.608133208527</v>
      </c>
      <c r="BM18" s="6">
        <f t="shared" si="45"/>
        <v>22148.882051876441</v>
      </c>
      <c r="BN18" s="6">
        <f t="shared" si="45"/>
        <v>21927.393231357677</v>
      </c>
      <c r="BO18" s="6">
        <f t="shared" si="45"/>
        <v>21708.119299044101</v>
      </c>
      <c r="BP18" s="6">
        <f t="shared" si="45"/>
        <v>21491.03810605366</v>
      </c>
      <c r="BQ18" s="6">
        <f t="shared" si="45"/>
        <v>21276.127724993123</v>
      </c>
      <c r="BR18" s="6">
        <f t="shared" si="45"/>
        <v>21063.366447743192</v>
      </c>
      <c r="BS18" s="6">
        <f t="shared" si="45"/>
        <v>20852.732783265761</v>
      </c>
      <c r="BT18" s="6">
        <f t="shared" si="45"/>
        <v>20644.205455433104</v>
      </c>
      <c r="BU18" s="6">
        <f t="shared" si="45"/>
        <v>20437.763400878772</v>
      </c>
      <c r="BV18" s="6">
        <f t="shared" si="45"/>
        <v>20233.385766869986</v>
      </c>
      <c r="BW18" s="6">
        <f t="shared" si="45"/>
        <v>20031.051909201287</v>
      </c>
      <c r="BX18" s="6">
        <f t="shared" si="45"/>
        <v>19830.741390109273</v>
      </c>
      <c r="BY18" s="6">
        <f t="shared" si="45"/>
        <v>19632.43397620818</v>
      </c>
      <c r="BZ18" s="6">
        <f t="shared" si="45"/>
        <v>19436.109636446097</v>
      </c>
      <c r="CA18" s="6">
        <f t="shared" si="45"/>
        <v>19241.748540081637</v>
      </c>
      <c r="CB18" s="6">
        <f t="shared" si="45"/>
        <v>19049.331054680821</v>
      </c>
      <c r="CC18" s="6">
        <f t="shared" si="45"/>
        <v>18858.837744134013</v>
      </c>
      <c r="CD18" s="6">
        <f t="shared" si="45"/>
        <v>18670.249366692671</v>
      </c>
      <c r="CE18" s="6">
        <f t="shared" si="45"/>
        <v>18483.546873025745</v>
      </c>
      <c r="CF18" s="6">
        <f t="shared" si="45"/>
        <v>18298.711404295489</v>
      </c>
      <c r="CG18" s="6">
        <f t="shared" si="45"/>
        <v>18115.724290252536</v>
      </c>
      <c r="CH18" s="6">
        <f t="shared" si="45"/>
        <v>17934.56704735001</v>
      </c>
      <c r="CI18" s="6">
        <f t="shared" si="45"/>
        <v>17755.22137687651</v>
      </c>
      <c r="CJ18" s="6">
        <f t="shared" si="45"/>
        <v>17577.669163107745</v>
      </c>
      <c r="CK18" s="6">
        <f t="shared" si="45"/>
        <v>17401.892471476669</v>
      </c>
      <c r="CL18" s="6">
        <f t="shared" si="45"/>
        <v>17227.873546761901</v>
      </c>
      <c r="CM18" s="6">
        <f t="shared" si="45"/>
        <v>17055.594811294282</v>
      </c>
      <c r="CN18" s="6">
        <f t="shared" si="45"/>
        <v>16885.03886318134</v>
      </c>
      <c r="CO18" s="6">
        <f t="shared" si="45"/>
        <v>16716.188474549526</v>
      </c>
      <c r="CP18" s="6">
        <f t="shared" si="45"/>
        <v>16549.026589804031</v>
      </c>
      <c r="CQ18" s="6">
        <f t="shared" si="45"/>
        <v>16383.53632390599</v>
      </c>
      <c r="CR18" s="6">
        <f t="shared" si="45"/>
        <v>16219.700960666931</v>
      </c>
      <c r="CS18" s="6">
        <f t="shared" si="45"/>
        <v>16057.503951060262</v>
      </c>
      <c r="CT18" s="6">
        <f t="shared" si="45"/>
        <v>15896.928911549659</v>
      </c>
      <c r="CU18" s="6">
        <f t="shared" si="45"/>
        <v>15737.959622434162</v>
      </c>
      <c r="CV18" s="6">
        <f t="shared" si="45"/>
        <v>15580.58002620982</v>
      </c>
      <c r="CW18" s="6">
        <f t="shared" si="45"/>
        <v>15424.774225947722</v>
      </c>
      <c r="CX18" s="6">
        <f t="shared" ref="CX18:EQ18" si="46">CW18+($AN$23*CW18)</f>
        <v>15270.526483688245</v>
      </c>
      <c r="CY18" s="6">
        <f t="shared" si="46"/>
        <v>15117.821218851363</v>
      </c>
      <c r="CZ18" s="6">
        <f t="shared" si="46"/>
        <v>14966.643006662849</v>
      </c>
      <c r="DA18" s="6">
        <f t="shared" si="46"/>
        <v>14816.97657659622</v>
      </c>
      <c r="DB18" s="6">
        <f t="shared" si="46"/>
        <v>14668.806810830258</v>
      </c>
      <c r="DC18" s="6">
        <f t="shared" si="46"/>
        <v>14522.118742721956</v>
      </c>
      <c r="DD18" s="6">
        <f t="shared" si="46"/>
        <v>14376.897555294736</v>
      </c>
      <c r="DE18" s="6">
        <f t="shared" si="46"/>
        <v>14233.128579741788</v>
      </c>
      <c r="DF18" s="6">
        <f t="shared" si="46"/>
        <v>14090.79729394437</v>
      </c>
      <c r="DG18" s="6">
        <f t="shared" si="46"/>
        <v>13949.889321004926</v>
      </c>
      <c r="DH18" s="6">
        <f t="shared" si="46"/>
        <v>13810.390427794877</v>
      </c>
      <c r="DI18" s="6">
        <f t="shared" si="46"/>
        <v>13672.286523516928</v>
      </c>
      <c r="DJ18" s="6">
        <f t="shared" si="46"/>
        <v>13535.563658281759</v>
      </c>
      <c r="DK18" s="6">
        <f t="shared" si="46"/>
        <v>13400.208021698942</v>
      </c>
      <c r="DL18" s="6">
        <f t="shared" si="46"/>
        <v>13266.205941481952</v>
      </c>
      <c r="DM18" s="6">
        <f t="shared" si="46"/>
        <v>13133.543882067133</v>
      </c>
      <c r="DN18" s="6">
        <f t="shared" si="46"/>
        <v>13002.208443246462</v>
      </c>
      <c r="DO18" s="6">
        <f t="shared" si="46"/>
        <v>12872.186358813997</v>
      </c>
      <c r="DP18" s="6">
        <f t="shared" si="46"/>
        <v>12743.464495225857</v>
      </c>
      <c r="DQ18" s="6">
        <f t="shared" si="46"/>
        <v>12616.029850273599</v>
      </c>
      <c r="DR18" s="6">
        <f t="shared" si="46"/>
        <v>12489.869551770862</v>
      </c>
      <c r="DS18" s="6">
        <f t="shared" si="46"/>
        <v>12364.970856253154</v>
      </c>
      <c r="DT18" s="6">
        <f t="shared" si="46"/>
        <v>12241.321147690622</v>
      </c>
      <c r="DU18" s="6">
        <f t="shared" si="46"/>
        <v>12118.907936213716</v>
      </c>
      <c r="DV18" s="6">
        <f t="shared" si="46"/>
        <v>11997.718856851579</v>
      </c>
      <c r="DW18" s="6">
        <f t="shared" si="46"/>
        <v>11877.741668283064</v>
      </c>
      <c r="DX18" s="6">
        <f t="shared" si="46"/>
        <v>11758.964251600233</v>
      </c>
      <c r="DY18" s="6">
        <f t="shared" si="46"/>
        <v>11641.374609084231</v>
      </c>
      <c r="DZ18" s="6">
        <f t="shared" si="46"/>
        <v>11524.960862993388</v>
      </c>
      <c r="EA18" s="6">
        <f t="shared" si="46"/>
        <v>11409.711254363454</v>
      </c>
      <c r="EB18" s="6">
        <f t="shared" si="46"/>
        <v>11295.614141819819</v>
      </c>
      <c r="EC18" s="6">
        <f t="shared" si="46"/>
        <v>11182.65800040162</v>
      </c>
      <c r="ED18" s="6">
        <f t="shared" si="46"/>
        <v>11070.831420397604</v>
      </c>
      <c r="EE18" s="6">
        <f t="shared" si="46"/>
        <v>10960.123106193629</v>
      </c>
      <c r="EF18" s="6">
        <f t="shared" si="46"/>
        <v>10850.521875131692</v>
      </c>
      <c r="EG18" s="6">
        <f t="shared" si="46"/>
        <v>10742.016656380374</v>
      </c>
      <c r="EH18" s="6">
        <f t="shared" si="46"/>
        <v>10634.596489816571</v>
      </c>
      <c r="EI18" s="6">
        <f t="shared" si="46"/>
        <v>10528.250524918405</v>
      </c>
      <c r="EJ18" s="6">
        <f t="shared" si="46"/>
        <v>10422.968019669221</v>
      </c>
      <c r="EK18" s="6">
        <f t="shared" si="46"/>
        <v>10318.738339472529</v>
      </c>
      <c r="EL18" s="6">
        <f t="shared" si="46"/>
        <v>10215.550956077805</v>
      </c>
      <c r="EM18" s="6">
        <f t="shared" si="46"/>
        <v>10113.395446517026</v>
      </c>
      <c r="EN18" s="6">
        <f t="shared" si="46"/>
        <v>10012.261492051855</v>
      </c>
      <c r="EO18" s="6">
        <f t="shared" si="46"/>
        <v>9912.1388771313377</v>
      </c>
      <c r="EP18" s="6">
        <f t="shared" si="46"/>
        <v>9813.0174883600248</v>
      </c>
      <c r="EQ18" s="6">
        <f t="shared" si="46"/>
        <v>9714.8873134764253</v>
      </c>
    </row>
    <row r="19" spans="1:147" x14ac:dyDescent="0.3">
      <c r="B19" t="s">
        <v>1</v>
      </c>
      <c r="C19" s="3">
        <f t="shared" ref="C19:L19" si="47">1574.2+245.5+9.3</f>
        <v>1829</v>
      </c>
      <c r="D19" s="3">
        <f t="shared" si="47"/>
        <v>1829</v>
      </c>
      <c r="E19" s="3">
        <f t="shared" si="47"/>
        <v>1829</v>
      </c>
      <c r="F19" s="3">
        <f t="shared" si="47"/>
        <v>1829</v>
      </c>
      <c r="G19" s="3">
        <f t="shared" si="47"/>
        <v>1829</v>
      </c>
      <c r="H19" s="3">
        <f t="shared" si="47"/>
        <v>1829</v>
      </c>
      <c r="I19" s="3">
        <f t="shared" si="47"/>
        <v>1829</v>
      </c>
      <c r="J19" s="3">
        <f t="shared" si="47"/>
        <v>1829</v>
      </c>
      <c r="K19" s="3">
        <f t="shared" si="47"/>
        <v>1829</v>
      </c>
      <c r="L19" s="3">
        <f t="shared" si="47"/>
        <v>1829</v>
      </c>
      <c r="M19" s="3">
        <v>1822</v>
      </c>
      <c r="N19" s="3">
        <f>1728.1+4.8+120.3+9.6</f>
        <v>1862.7999999999997</v>
      </c>
      <c r="O19" s="3">
        <f>1723.4+4.8+120.3+9.2</f>
        <v>1857.7</v>
      </c>
      <c r="P19" s="3">
        <f>1711+4.8+120.3+9</f>
        <v>1845.1</v>
      </c>
      <c r="Q19" s="3">
        <f>1711+4.8+120.3+9</f>
        <v>1845.1</v>
      </c>
      <c r="R19" s="3">
        <f>1711+4.8+120.3+9</f>
        <v>1845.1</v>
      </c>
      <c r="T19" s="3">
        <f t="shared" ref="T19:X19" si="48">1574.2+245.5+9.3</f>
        <v>1829</v>
      </c>
      <c r="U19" s="3">
        <f t="shared" si="48"/>
        <v>1829</v>
      </c>
      <c r="V19" s="3">
        <f t="shared" si="48"/>
        <v>1829</v>
      </c>
      <c r="W19" s="3">
        <f t="shared" si="48"/>
        <v>1829</v>
      </c>
      <c r="X19" s="3">
        <f t="shared" si="48"/>
        <v>1829</v>
      </c>
      <c r="Y19" s="3">
        <f t="shared" ref="Y19" si="49">1728.1+4.8+120.3+9.6</f>
        <v>1862.7999999999997</v>
      </c>
      <c r="Z19" s="3">
        <f t="shared" ref="Z19:AJ19" si="50">1711+4.8+120.3+9</f>
        <v>1845.1</v>
      </c>
      <c r="AA19" s="3">
        <f t="shared" si="50"/>
        <v>1845.1</v>
      </c>
      <c r="AB19" s="3">
        <f t="shared" si="50"/>
        <v>1845.1</v>
      </c>
      <c r="AC19" s="3">
        <f t="shared" si="50"/>
        <v>1845.1</v>
      </c>
      <c r="AD19" s="3">
        <f t="shared" si="50"/>
        <v>1845.1</v>
      </c>
      <c r="AE19" s="3">
        <f t="shared" si="50"/>
        <v>1845.1</v>
      </c>
      <c r="AF19" s="3">
        <f t="shared" si="50"/>
        <v>1845.1</v>
      </c>
      <c r="AG19" s="3">
        <f t="shared" si="50"/>
        <v>1845.1</v>
      </c>
      <c r="AH19" s="3">
        <f t="shared" si="50"/>
        <v>1845.1</v>
      </c>
      <c r="AI19" s="3">
        <f t="shared" si="50"/>
        <v>1845.1</v>
      </c>
      <c r="AJ19" s="3">
        <f t="shared" si="50"/>
        <v>1845.1</v>
      </c>
    </row>
    <row r="20" spans="1:147" x14ac:dyDescent="0.3">
      <c r="B20" t="s">
        <v>25</v>
      </c>
      <c r="C20" s="5">
        <f t="shared" ref="C20:L20" si="51">C18/C19</f>
        <v>2.2192454893384364</v>
      </c>
      <c r="D20" s="5">
        <f t="shared" si="51"/>
        <v>1.9939857845817386</v>
      </c>
      <c r="E20" s="5">
        <f t="shared" si="51"/>
        <v>1.8649535265172226</v>
      </c>
      <c r="F20" s="5">
        <f t="shared" si="51"/>
        <v>2.1541826134499726</v>
      </c>
      <c r="G20" s="5">
        <f t="shared" si="51"/>
        <v>2.2848551120831053</v>
      </c>
      <c r="H20" s="5">
        <f t="shared" si="51"/>
        <v>2.3275013668671405</v>
      </c>
      <c r="I20" s="5">
        <f t="shared" si="51"/>
        <v>2.2722799343903772</v>
      </c>
      <c r="J20" s="5">
        <f t="shared" si="51"/>
        <v>2.5593220338983049</v>
      </c>
      <c r="K20" s="5">
        <f t="shared" si="51"/>
        <v>2.6735921268452705</v>
      </c>
      <c r="L20" s="5">
        <f t="shared" si="51"/>
        <v>2.5494805904866049</v>
      </c>
      <c r="M20" s="5">
        <f t="shared" ref="M20:O20" si="52">M18/M19</f>
        <v>2.6739846322722283</v>
      </c>
      <c r="N20" s="5">
        <f t="shared" si="52"/>
        <v>2.854842173072794</v>
      </c>
      <c r="O20" s="5">
        <f t="shared" si="52"/>
        <v>2.7555579480002153</v>
      </c>
      <c r="P20" s="5">
        <f t="shared" ref="P20:R20" si="53">P18/P19</f>
        <v>2.4806243564034469</v>
      </c>
      <c r="Q20" s="5">
        <f t="shared" si="53"/>
        <v>2.4695592650804827</v>
      </c>
      <c r="R20" s="5">
        <f t="shared" si="53"/>
        <v>2.7829957129694867</v>
      </c>
      <c r="T20" s="5">
        <f t="shared" ref="T20:Z20" si="54">T18/T19</f>
        <v>6.6047020229633677</v>
      </c>
      <c r="U20" s="5">
        <f t="shared" si="54"/>
        <v>5.9409513395297981</v>
      </c>
      <c r="V20" s="5">
        <f t="shared" si="54"/>
        <v>6.7310005467468565</v>
      </c>
      <c r="W20" s="5">
        <f t="shared" si="54"/>
        <v>8.2323674138873706</v>
      </c>
      <c r="X20" s="5">
        <f t="shared" si="54"/>
        <v>9.4439584472389289</v>
      </c>
      <c r="Y20" s="5">
        <f t="shared" si="54"/>
        <v>10.598561305561521</v>
      </c>
      <c r="Z20" s="5">
        <f t="shared" si="54"/>
        <v>10.507554707061949</v>
      </c>
      <c r="AA20" s="5">
        <f t="shared" ref="AA20:AJ20" si="55">AA18/AA19</f>
        <v>12.887541625147691</v>
      </c>
      <c r="AB20" s="5">
        <f t="shared" si="55"/>
        <v>13.546883753069213</v>
      </c>
      <c r="AC20" s="5">
        <f t="shared" si="55"/>
        <v>13.955642540611157</v>
      </c>
      <c r="AD20" s="5">
        <f t="shared" si="55"/>
        <v>14.228061000578546</v>
      </c>
      <c r="AE20" s="5">
        <f t="shared" si="55"/>
        <v>14.519455996389823</v>
      </c>
      <c r="AF20" s="5">
        <f t="shared" si="55"/>
        <v>14.816676201613525</v>
      </c>
      <c r="AG20" s="5">
        <f t="shared" si="55"/>
        <v>15.119835962685009</v>
      </c>
      <c r="AH20" s="5">
        <f t="shared" si="55"/>
        <v>15.429051827465377</v>
      </c>
      <c r="AI20" s="5">
        <f t="shared" si="55"/>
        <v>15.744442586497197</v>
      </c>
      <c r="AJ20" s="5">
        <f t="shared" si="55"/>
        <v>16.066129315000072</v>
      </c>
    </row>
    <row r="22" spans="1:147" x14ac:dyDescent="0.3">
      <c r="B22" t="s">
        <v>39</v>
      </c>
      <c r="G22" s="9">
        <f>G3/C3-1</f>
        <v>0.12423856070264905</v>
      </c>
      <c r="H22" s="9">
        <f t="shared" ref="H22:N22" si="56">H3/D3-1</f>
        <v>0.11072471831965514</v>
      </c>
      <c r="I22" s="9">
        <f t="shared" si="56"/>
        <v>0.11656357388316141</v>
      </c>
      <c r="J22" s="9">
        <f t="shared" si="56"/>
        <v>0.1055605496340053</v>
      </c>
      <c r="K22" s="9">
        <f t="shared" si="56"/>
        <v>8.7953629032258007E-2</v>
      </c>
      <c r="L22" s="9">
        <f t="shared" si="56"/>
        <v>9.8935504070131408E-2</v>
      </c>
      <c r="M22" s="9">
        <f t="shared" si="56"/>
        <v>9.5654314908285132E-2</v>
      </c>
      <c r="N22" s="9">
        <f t="shared" si="56"/>
        <v>0.11708676965965847</v>
      </c>
      <c r="O22" s="9">
        <f t="shared" ref="O22" si="57">O3/K3-1</f>
        <v>0.10145934676858936</v>
      </c>
      <c r="P22" s="9">
        <f t="shared" ref="P22" si="58">P3/L3-1</f>
        <v>9.3333333333333268E-2</v>
      </c>
      <c r="Q22" s="9">
        <f t="shared" ref="Q22" si="59">Q3/M3-1</f>
        <v>0.10000000000000009</v>
      </c>
      <c r="R22" s="9">
        <f t="shared" ref="R22" si="60">R3/N3-1</f>
        <v>7.0000000000000062E-2</v>
      </c>
      <c r="T22" s="9"/>
      <c r="U22" s="9">
        <f>U3/T3-1</f>
        <v>-4.92231361796579E-2</v>
      </c>
      <c r="V22" s="9">
        <f t="shared" ref="V22:AJ22" si="61">V3/U3-1</f>
        <v>0.10340565778632249</v>
      </c>
      <c r="W22" s="9">
        <f t="shared" si="61"/>
        <v>0.21593030491599263</v>
      </c>
      <c r="X22" s="9">
        <f t="shared" si="61"/>
        <v>0.11405663596042315</v>
      </c>
      <c r="Y22" s="9">
        <f t="shared" si="61"/>
        <v>0.10023581294214923</v>
      </c>
      <c r="Z22" s="9">
        <f t="shared" si="61"/>
        <v>9.0691699604743103E-2</v>
      </c>
      <c r="AA22" s="9">
        <f t="shared" si="61"/>
        <v>7.0000000000000062E-2</v>
      </c>
      <c r="AB22" s="9">
        <f t="shared" si="61"/>
        <v>5.0000000000000044E-2</v>
      </c>
      <c r="AC22" s="9">
        <f t="shared" si="61"/>
        <v>3.0000000000000027E-2</v>
      </c>
      <c r="AD22" s="9">
        <f t="shared" si="61"/>
        <v>2.0000000000000018E-2</v>
      </c>
      <c r="AE22" s="9">
        <f t="shared" si="61"/>
        <v>2.0000000000000018E-2</v>
      </c>
      <c r="AF22" s="9">
        <f t="shared" si="61"/>
        <v>2.0000000000000018E-2</v>
      </c>
      <c r="AG22" s="9">
        <f t="shared" si="61"/>
        <v>2.0000000000000018E-2</v>
      </c>
      <c r="AH22" s="9">
        <f t="shared" si="61"/>
        <v>2.0000000000000018E-2</v>
      </c>
      <c r="AI22" s="9">
        <f t="shared" si="61"/>
        <v>2.0000000000000018E-2</v>
      </c>
      <c r="AJ22" s="9">
        <f t="shared" si="61"/>
        <v>2.0000000000000018E-2</v>
      </c>
    </row>
    <row r="23" spans="1:147" x14ac:dyDescent="0.3">
      <c r="B23" t="s">
        <v>40</v>
      </c>
      <c r="C23" s="9">
        <f t="shared" ref="C23:F23" si="62">C5/C3</f>
        <v>0.84062898427539312</v>
      </c>
      <c r="D23" s="9">
        <f t="shared" si="62"/>
        <v>0.82946167756294342</v>
      </c>
      <c r="E23" s="9">
        <f t="shared" si="62"/>
        <v>0.82364261168384878</v>
      </c>
      <c r="F23" s="9">
        <f t="shared" si="62"/>
        <v>0.82586361885193271</v>
      </c>
      <c r="G23" s="9">
        <f>G5/G3</f>
        <v>0.8315272177419355</v>
      </c>
      <c r="H23" s="9">
        <f t="shared" ref="H23:N23" si="63">H5/H3</f>
        <v>0.81026925485284906</v>
      </c>
      <c r="I23" s="9">
        <f t="shared" si="63"/>
        <v>0.81767819771020556</v>
      </c>
      <c r="J23" s="9">
        <f t="shared" si="63"/>
        <v>0.82599605064467418</v>
      </c>
      <c r="K23" s="9">
        <f t="shared" si="63"/>
        <v>0.82870048644892291</v>
      </c>
      <c r="L23" s="9">
        <f t="shared" si="63"/>
        <v>0.81732193732193736</v>
      </c>
      <c r="M23" s="9">
        <f t="shared" si="63"/>
        <v>0.82325842696629215</v>
      </c>
      <c r="N23" s="9">
        <f t="shared" si="63"/>
        <v>0.83269210772590208</v>
      </c>
      <c r="O23" s="9">
        <f t="shared" ref="O23:R23" si="64">O5/O3</f>
        <v>0.80935856992639332</v>
      </c>
      <c r="P23" s="9">
        <f t="shared" si="64"/>
        <v>0.82728788826349797</v>
      </c>
      <c r="Q23" s="9">
        <f t="shared" si="64"/>
        <v>0.82</v>
      </c>
      <c r="R23" s="9">
        <f t="shared" si="64"/>
        <v>0.82</v>
      </c>
      <c r="T23" s="9">
        <f t="shared" ref="T23:AJ23" si="65">T5/T3</f>
        <v>0.85011098054576317</v>
      </c>
      <c r="U23" s="9">
        <f t="shared" si="65"/>
        <v>0.82674173761787051</v>
      </c>
      <c r="V23" s="9">
        <f t="shared" si="65"/>
        <v>0.82410288321924907</v>
      </c>
      <c r="W23" s="9">
        <f t="shared" si="65"/>
        <v>0.82975093824633228</v>
      </c>
      <c r="X23" s="9">
        <f t="shared" si="65"/>
        <v>0.82142529017241905</v>
      </c>
      <c r="Y23" s="9">
        <f t="shared" si="65"/>
        <v>0.82564159661526471</v>
      </c>
      <c r="Z23" s="9">
        <f t="shared" si="65"/>
        <v>0.81920171885650817</v>
      </c>
      <c r="AA23" s="9">
        <f t="shared" si="65"/>
        <v>0.83</v>
      </c>
      <c r="AB23" s="9">
        <f t="shared" si="65"/>
        <v>0.83</v>
      </c>
      <c r="AC23" s="9">
        <f t="shared" si="65"/>
        <v>0.83</v>
      </c>
      <c r="AD23" s="9">
        <f t="shared" si="65"/>
        <v>0.82999999999999985</v>
      </c>
      <c r="AE23" s="9">
        <f t="shared" si="65"/>
        <v>0.83</v>
      </c>
      <c r="AF23" s="9">
        <f t="shared" si="65"/>
        <v>0.83</v>
      </c>
      <c r="AG23" s="9">
        <f t="shared" si="65"/>
        <v>0.83</v>
      </c>
      <c r="AH23" s="9">
        <f t="shared" si="65"/>
        <v>0.83000000000000007</v>
      </c>
      <c r="AI23" s="9">
        <f t="shared" si="65"/>
        <v>0.83</v>
      </c>
      <c r="AJ23" s="9">
        <f t="shared" si="65"/>
        <v>0.83</v>
      </c>
      <c r="AM23" t="s">
        <v>48</v>
      </c>
      <c r="AN23" s="9">
        <v>-0.01</v>
      </c>
    </row>
    <row r="24" spans="1:147" x14ac:dyDescent="0.3">
      <c r="B24" t="s">
        <v>41</v>
      </c>
      <c r="C24" s="9">
        <f t="shared" ref="C24:F24" si="66">C6/C3</f>
        <v>3.9665675024791049E-2</v>
      </c>
      <c r="D24" s="9">
        <f t="shared" si="66"/>
        <v>4.3677841146195578E-2</v>
      </c>
      <c r="E24" s="9">
        <f t="shared" si="66"/>
        <v>4.3024054982817868E-2</v>
      </c>
      <c r="F24" s="9">
        <f t="shared" si="66"/>
        <v>5.5091819699499167E-2</v>
      </c>
      <c r="G24" s="9">
        <f>G6/G3</f>
        <v>4.1834677419354836E-2</v>
      </c>
      <c r="H24" s="9">
        <f t="shared" ref="H24:N24" si="67">H6/H3</f>
        <v>3.8697557921102063E-2</v>
      </c>
      <c r="I24" s="9">
        <f t="shared" si="67"/>
        <v>3.6562846239074236E-2</v>
      </c>
      <c r="J24" s="9">
        <f t="shared" si="67"/>
        <v>4.6811476361946797E-2</v>
      </c>
      <c r="K24" s="9">
        <f t="shared" si="67"/>
        <v>3.3935603428306697E-2</v>
      </c>
      <c r="L24" s="9">
        <f t="shared" si="67"/>
        <v>3.8518518518518521E-2</v>
      </c>
      <c r="M24" s="9">
        <f t="shared" si="67"/>
        <v>4.2471910112359554E-2</v>
      </c>
      <c r="N24" s="9">
        <f t="shared" si="67"/>
        <v>5.7294374545076431E-2</v>
      </c>
      <c r="O24" s="9">
        <f t="shared" ref="O24:R24" si="68">O6/O3</f>
        <v>3.2176656151419555E-2</v>
      </c>
      <c r="P24" s="9">
        <f t="shared" si="68"/>
        <v>3.9712320200125079E-2</v>
      </c>
      <c r="Q24" s="9">
        <f t="shared" si="68"/>
        <v>0.04</v>
      </c>
      <c r="R24" s="9">
        <f t="shared" si="68"/>
        <v>5.9999999999999991E-2</v>
      </c>
      <c r="T24" s="9">
        <f t="shared" ref="T24:AJ24" si="69">T6/T3</f>
        <v>4.8091569830700266E-2</v>
      </c>
      <c r="U24" s="9">
        <f t="shared" si="69"/>
        <v>4.4447496109127529E-2</v>
      </c>
      <c r="V24" s="9">
        <f t="shared" si="69"/>
        <v>4.7127152043144577E-2</v>
      </c>
      <c r="W24" s="9">
        <f t="shared" si="69"/>
        <v>4.5581712726032071E-2</v>
      </c>
      <c r="X24" s="9">
        <f t="shared" si="69"/>
        <v>4.1068202002878758E-2</v>
      </c>
      <c r="Y24" s="9">
        <f t="shared" si="69"/>
        <v>4.3422590881255912E-2</v>
      </c>
      <c r="Z24" s="9">
        <f t="shared" si="69"/>
        <v>4.3283053700995215E-2</v>
      </c>
      <c r="AA24" s="9">
        <f t="shared" si="69"/>
        <v>0.04</v>
      </c>
      <c r="AB24" s="9">
        <f t="shared" si="69"/>
        <v>0.04</v>
      </c>
      <c r="AC24" s="9">
        <f t="shared" si="69"/>
        <v>0.04</v>
      </c>
      <c r="AD24" s="9">
        <f t="shared" si="69"/>
        <v>0.04</v>
      </c>
      <c r="AE24" s="9">
        <f t="shared" si="69"/>
        <v>0.04</v>
      </c>
      <c r="AF24" s="9">
        <f t="shared" si="69"/>
        <v>0.04</v>
      </c>
      <c r="AG24" s="9">
        <f t="shared" si="69"/>
        <v>0.04</v>
      </c>
      <c r="AH24" s="9">
        <f t="shared" si="69"/>
        <v>0.04</v>
      </c>
      <c r="AI24" s="9">
        <f t="shared" si="69"/>
        <v>0.04</v>
      </c>
      <c r="AJ24" s="9">
        <f t="shared" si="69"/>
        <v>4.0000000000000008E-2</v>
      </c>
      <c r="AM24" t="s">
        <v>49</v>
      </c>
      <c r="AN24" s="9">
        <v>0.06</v>
      </c>
    </row>
    <row r="25" spans="1:147" x14ac:dyDescent="0.3">
      <c r="B25" t="s">
        <v>47</v>
      </c>
      <c r="C25" s="9"/>
      <c r="D25" s="9"/>
      <c r="E25" s="9"/>
      <c r="F25" s="9"/>
      <c r="G25" s="9">
        <f>G7/C7-1</f>
        <v>-6.315789473684208E-2</v>
      </c>
      <c r="H25" s="9">
        <f t="shared" ref="H25:N25" si="70">H7/D7-1</f>
        <v>-5.7894736842105221E-2</v>
      </c>
      <c r="I25" s="9">
        <f t="shared" si="70"/>
        <v>2.2471910112359605E-2</v>
      </c>
      <c r="J25" s="9">
        <f t="shared" si="70"/>
        <v>6.4864864864864868E-2</v>
      </c>
      <c r="K25" s="9">
        <f t="shared" si="70"/>
        <v>1.6853932584269593E-2</v>
      </c>
      <c r="L25" s="9">
        <f t="shared" si="70"/>
        <v>5.5865921787709549E-2</v>
      </c>
      <c r="M25" s="9">
        <f t="shared" si="70"/>
        <v>9.8901098901098994E-2</v>
      </c>
      <c r="N25" s="9">
        <f t="shared" si="70"/>
        <v>5.5837563451776706E-2</v>
      </c>
      <c r="O25" s="9">
        <f t="shared" ref="O25" si="71">O7/K7-1</f>
        <v>0.14364640883977908</v>
      </c>
      <c r="P25" s="9">
        <f t="shared" ref="P25" si="72">P7/L7-1</f>
        <v>0.18518518518518512</v>
      </c>
      <c r="Q25" s="9">
        <f t="shared" ref="Q25" si="73">Q7/M7-1</f>
        <v>0.10000000000000009</v>
      </c>
      <c r="R25" s="9">
        <f t="shared" ref="R25" si="74">R7/N7-1</f>
        <v>0.10000000000000009</v>
      </c>
      <c r="S25" s="9"/>
      <c r="T25" s="9"/>
      <c r="U25" s="9">
        <f>U7/T7-1</f>
        <v>8.3217753120665705E-3</v>
      </c>
      <c r="V25" s="9">
        <f t="shared" ref="V25:AJ25" si="75">V7/U7-1</f>
        <v>4.126547455295837E-3</v>
      </c>
      <c r="W25" s="9">
        <f t="shared" si="75"/>
        <v>1.7808219178082174E-2</v>
      </c>
      <c r="X25" s="9">
        <f t="shared" si="75"/>
        <v>-9.421265141319024E-3</v>
      </c>
      <c r="Y25" s="9">
        <f t="shared" si="75"/>
        <v>5.7065217391304435E-2</v>
      </c>
      <c r="Z25" s="9">
        <f t="shared" si="75"/>
        <v>0.13084832904884314</v>
      </c>
      <c r="AA25" s="9">
        <f t="shared" si="75"/>
        <v>6.0000000000000053E-2</v>
      </c>
      <c r="AB25" s="9">
        <f t="shared" si="75"/>
        <v>4.0000000000000036E-2</v>
      </c>
      <c r="AC25" s="9">
        <f t="shared" si="75"/>
        <v>3.0000000000000027E-2</v>
      </c>
      <c r="AD25" s="9">
        <f t="shared" si="75"/>
        <v>2.0000000000000018E-2</v>
      </c>
      <c r="AE25" s="9">
        <f t="shared" si="75"/>
        <v>1.0000000000000009E-2</v>
      </c>
      <c r="AF25" s="9">
        <f t="shared" si="75"/>
        <v>1.0000000000000009E-2</v>
      </c>
      <c r="AG25" s="9">
        <f t="shared" si="75"/>
        <v>1.0000000000000009E-2</v>
      </c>
      <c r="AH25" s="9">
        <f t="shared" si="75"/>
        <v>1.0000000000000009E-2</v>
      </c>
      <c r="AI25" s="9">
        <f t="shared" si="75"/>
        <v>1.0000000000000009E-2</v>
      </c>
      <c r="AJ25" s="9">
        <f t="shared" si="75"/>
        <v>1.0000000000000009E-2</v>
      </c>
      <c r="AM25" t="s">
        <v>50</v>
      </c>
      <c r="AN25" s="3">
        <f>NPV(AN24,Z18:EQ18)</f>
        <v>424451.95980651764</v>
      </c>
    </row>
    <row r="26" spans="1:147" x14ac:dyDescent="0.3">
      <c r="B26" t="s">
        <v>42</v>
      </c>
      <c r="C26" s="9">
        <f t="shared" ref="C26:F26" si="76">C8/C3</f>
        <v>1.4166312508853945E-2</v>
      </c>
      <c r="D26" s="9">
        <f t="shared" si="76"/>
        <v>1.7387675615523717E-2</v>
      </c>
      <c r="E26" s="9">
        <f t="shared" si="76"/>
        <v>1.6082474226804123E-2</v>
      </c>
      <c r="F26" s="9">
        <f t="shared" si="76"/>
        <v>2.0932323102606908E-2</v>
      </c>
      <c r="G26" s="9">
        <f>G8/G3</f>
        <v>1.3734879032258064E-2</v>
      </c>
      <c r="H26" s="9">
        <f t="shared" ref="H26:N26" si="77">H8/H3</f>
        <v>1.6280525986224169E-2</v>
      </c>
      <c r="I26" s="9">
        <f t="shared" si="77"/>
        <v>1.6373261110427181E-2</v>
      </c>
      <c r="J26" s="9">
        <f t="shared" si="77"/>
        <v>2.0095249157858056E-2</v>
      </c>
      <c r="K26" s="9">
        <f t="shared" si="77"/>
        <v>1.5172573546444291E-2</v>
      </c>
      <c r="L26" s="9">
        <f t="shared" si="77"/>
        <v>1.8233618233618232E-2</v>
      </c>
      <c r="M26" s="9">
        <f t="shared" si="77"/>
        <v>1.707865168539326E-2</v>
      </c>
      <c r="N26" s="9">
        <f t="shared" si="77"/>
        <v>1.9964645939482165E-2</v>
      </c>
      <c r="O26" s="9">
        <f t="shared" ref="O26:R26" si="78">O8/O3</f>
        <v>1.5036803364879074E-2</v>
      </c>
      <c r="P26" s="9">
        <f t="shared" si="78"/>
        <v>1.8032103397957057E-2</v>
      </c>
      <c r="Q26" s="9">
        <f t="shared" si="78"/>
        <v>0.02</v>
      </c>
      <c r="R26" s="9">
        <f t="shared" si="78"/>
        <v>0.02</v>
      </c>
      <c r="T26" s="9">
        <f t="shared" ref="T26:AJ26" si="79">T8/T3</f>
        <v>1.9758889324106715E-2</v>
      </c>
      <c r="U26" s="9">
        <f t="shared" si="79"/>
        <v>1.8676187860477891E-2</v>
      </c>
      <c r="V26" s="9">
        <f t="shared" si="79"/>
        <v>1.6718523127981746E-2</v>
      </c>
      <c r="W26" s="9">
        <f t="shared" si="79"/>
        <v>1.7229614466052541E-2</v>
      </c>
      <c r="X26" s="9">
        <f t="shared" si="79"/>
        <v>1.6690656294980552E-2</v>
      </c>
      <c r="Y26" s="9">
        <f t="shared" si="79"/>
        <v>1.7675221288203528E-2</v>
      </c>
      <c r="Z26" s="9">
        <f t="shared" si="79"/>
        <v>1.8313605563876657E-2</v>
      </c>
      <c r="AA26" s="9">
        <f t="shared" si="79"/>
        <v>0.02</v>
      </c>
      <c r="AB26" s="9">
        <f t="shared" si="79"/>
        <v>0.02</v>
      </c>
      <c r="AC26" s="9">
        <f t="shared" si="79"/>
        <v>0.02</v>
      </c>
      <c r="AD26" s="9">
        <f t="shared" si="79"/>
        <v>0.02</v>
      </c>
      <c r="AE26" s="9">
        <f t="shared" si="79"/>
        <v>0.02</v>
      </c>
      <c r="AF26" s="9">
        <f t="shared" si="79"/>
        <v>0.02</v>
      </c>
      <c r="AG26" s="9">
        <f t="shared" si="79"/>
        <v>0.02</v>
      </c>
      <c r="AH26" s="9">
        <f t="shared" si="79"/>
        <v>0.02</v>
      </c>
      <c r="AI26" s="9">
        <f t="shared" si="79"/>
        <v>0.02</v>
      </c>
      <c r="AJ26" s="9">
        <f t="shared" si="79"/>
        <v>2.0000000000000004E-2</v>
      </c>
      <c r="AM26" t="s">
        <v>51</v>
      </c>
      <c r="AN26" s="3">
        <f>Main!D8</f>
        <v>-5541</v>
      </c>
    </row>
    <row r="27" spans="1:147" x14ac:dyDescent="0.3">
      <c r="B27" t="s">
        <v>43</v>
      </c>
      <c r="C27" s="9"/>
      <c r="D27" s="9"/>
      <c r="E27" s="9"/>
      <c r="F27" s="9"/>
      <c r="G27" s="9">
        <f>G9/C9-1</f>
        <v>0.14646464646464641</v>
      </c>
      <c r="H27" s="9">
        <f t="shared" ref="H27:N27" si="80">H9/D9-1</f>
        <v>0.13043478260869557</v>
      </c>
      <c r="I27" s="9">
        <f t="shared" si="80"/>
        <v>2.1739130434782705E-2</v>
      </c>
      <c r="J27" s="9">
        <f t="shared" si="80"/>
        <v>9.2920353982300918E-2</v>
      </c>
      <c r="K27" s="9">
        <f t="shared" si="80"/>
        <v>8.8105726872246715E-2</v>
      </c>
      <c r="L27" s="9">
        <f t="shared" si="80"/>
        <v>6.4102564102564097E-2</v>
      </c>
      <c r="M27" s="9">
        <f t="shared" si="80"/>
        <v>0.123404255319149</v>
      </c>
      <c r="N27" s="9">
        <f t="shared" si="80"/>
        <v>0.10931174089068829</v>
      </c>
      <c r="O27" s="9">
        <f t="shared" ref="O27:O28" si="81">O9/K9-1</f>
        <v>0.14170040485829949</v>
      </c>
      <c r="P27" s="9">
        <f t="shared" ref="P27:P28" si="82">P9/L9-1</f>
        <v>0.22489959839357421</v>
      </c>
      <c r="Q27" s="9">
        <f t="shared" ref="Q27:Q28" si="83">Q9/M9-1</f>
        <v>0.15999999999999992</v>
      </c>
      <c r="R27" s="9">
        <f t="shared" ref="R27:R28" si="84">R9/N9-1</f>
        <v>0.14999999999999991</v>
      </c>
      <c r="T27" s="9"/>
      <c r="U27" s="9">
        <f>U9/T9-1</f>
        <v>0.16920731707317072</v>
      </c>
      <c r="V27" s="9">
        <f t="shared" ref="V27:Z27" si="85">V9/U9-1</f>
        <v>4.8239895697522739E-2</v>
      </c>
      <c r="W27" s="9">
        <f t="shared" si="85"/>
        <v>7.0895522388059629E-2</v>
      </c>
      <c r="X27" s="9">
        <f t="shared" si="85"/>
        <v>9.5238095238095344E-2</v>
      </c>
      <c r="Y27" s="9">
        <f t="shared" si="85"/>
        <v>9.6500530222693559E-2</v>
      </c>
      <c r="Z27" s="9">
        <f t="shared" si="85"/>
        <v>0.16860735009671179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M27" t="s">
        <v>52</v>
      </c>
      <c r="AN27" s="3">
        <f>AN25+AN26</f>
        <v>418910.95980651764</v>
      </c>
    </row>
    <row r="28" spans="1:147" x14ac:dyDescent="0.3">
      <c r="B28" t="s">
        <v>44</v>
      </c>
      <c r="C28" s="9"/>
      <c r="D28" s="9"/>
      <c r="E28" s="9"/>
      <c r="F28" s="9"/>
      <c r="G28" s="9">
        <f>G10/C10-1</f>
        <v>0.33057851239669422</v>
      </c>
      <c r="H28" s="9">
        <f t="shared" ref="H28:N28" si="86">H10/D10-1</f>
        <v>-0.13230769230769235</v>
      </c>
      <c r="I28" s="9">
        <f t="shared" si="86"/>
        <v>8.6505190311418678E-2</v>
      </c>
      <c r="J28" s="9">
        <f t="shared" si="86"/>
        <v>0.21893491124260356</v>
      </c>
      <c r="K28" s="9">
        <f t="shared" si="86"/>
        <v>5.5900621118012417E-2</v>
      </c>
      <c r="L28" s="9">
        <f t="shared" si="86"/>
        <v>0.60283687943262421</v>
      </c>
      <c r="M28" s="9">
        <f t="shared" si="86"/>
        <v>0.21656050955414008</v>
      </c>
      <c r="N28" s="9">
        <f t="shared" si="86"/>
        <v>2.9126213592232997E-2</v>
      </c>
      <c r="O28" s="9">
        <f t="shared" si="81"/>
        <v>0.41470588235294126</v>
      </c>
      <c r="P28" s="9">
        <f t="shared" si="82"/>
        <v>-7.3008849557522071E-2</v>
      </c>
      <c r="Q28" s="9">
        <f t="shared" si="83"/>
        <v>0.14999999999999991</v>
      </c>
      <c r="R28" s="9">
        <f t="shared" si="84"/>
        <v>0.14999999999999991</v>
      </c>
      <c r="T28" s="9"/>
      <c r="U28" s="9">
        <f>U10/T10-1</f>
        <v>-8.361204013377932E-2</v>
      </c>
      <c r="V28" s="9">
        <f t="shared" ref="V28:AJ28" si="87">V10/U10-1</f>
        <v>-0.10127737226277367</v>
      </c>
      <c r="W28" s="9">
        <f t="shared" si="87"/>
        <v>0.21218274111675117</v>
      </c>
      <c r="X28" s="9">
        <f t="shared" si="87"/>
        <v>0.11390284757118918</v>
      </c>
      <c r="Y28" s="9">
        <f t="shared" si="87"/>
        <v>0.2015037593984963</v>
      </c>
      <c r="Z28" s="9">
        <f t="shared" si="87"/>
        <v>0.14324155193992483</v>
      </c>
      <c r="AA28" s="9">
        <f t="shared" si="87"/>
        <v>5.0000000000000044E-2</v>
      </c>
      <c r="AB28" s="9">
        <f t="shared" si="87"/>
        <v>3.0000000000000027E-2</v>
      </c>
      <c r="AC28" s="9">
        <f t="shared" si="87"/>
        <v>2.0000000000000018E-2</v>
      </c>
      <c r="AD28" s="9">
        <f t="shared" si="87"/>
        <v>2.0000000000000018E-2</v>
      </c>
      <c r="AE28" s="9">
        <f t="shared" si="87"/>
        <v>1.0000000000000009E-2</v>
      </c>
      <c r="AF28" s="9">
        <f t="shared" si="87"/>
        <v>1.0000000000000009E-2</v>
      </c>
      <c r="AG28" s="9">
        <f t="shared" si="87"/>
        <v>1.0000000000000009E-2</v>
      </c>
      <c r="AH28" s="9">
        <f t="shared" si="87"/>
        <v>1.0000000000000009E-2</v>
      </c>
      <c r="AI28" s="9">
        <f t="shared" si="87"/>
        <v>1.0000000000000009E-2</v>
      </c>
      <c r="AJ28" s="9">
        <f t="shared" si="87"/>
        <v>1.0000000000000009E-2</v>
      </c>
      <c r="AM28" t="s">
        <v>53</v>
      </c>
      <c r="AN28" s="11">
        <f>AN27/AJ19</f>
        <v>227.0397050601689</v>
      </c>
    </row>
    <row r="29" spans="1:147" x14ac:dyDescent="0.3">
      <c r="B29" t="s">
        <v>45</v>
      </c>
      <c r="C29" s="9">
        <f t="shared" ref="C29:F29" si="88">C11/C3</f>
        <v>2.0966142513103841E-2</v>
      </c>
      <c r="D29" s="9">
        <f t="shared" si="88"/>
        <v>0</v>
      </c>
      <c r="E29" s="9">
        <f t="shared" si="88"/>
        <v>9.855670103092784E-2</v>
      </c>
      <c r="F29" s="9">
        <f t="shared" si="88"/>
        <v>3.8525748041607808E-4</v>
      </c>
      <c r="G29" s="9">
        <f>G11/G3</f>
        <v>4.296875E-2</v>
      </c>
      <c r="H29" s="9">
        <f t="shared" ref="H29:N29" si="89">H11/H3</f>
        <v>0</v>
      </c>
      <c r="I29" s="9">
        <f t="shared" si="89"/>
        <v>5.6260002462144527E-2</v>
      </c>
      <c r="J29" s="9">
        <f t="shared" si="89"/>
        <v>1.4984318736206296E-2</v>
      </c>
      <c r="K29" s="9">
        <f t="shared" si="89"/>
        <v>1.0423905489923557E-3</v>
      </c>
      <c r="L29" s="9">
        <f t="shared" si="89"/>
        <v>4.9002849002849E-2</v>
      </c>
      <c r="M29" s="9">
        <f t="shared" si="89"/>
        <v>1.4606741573033708E-3</v>
      </c>
      <c r="N29" s="9">
        <f t="shared" si="89"/>
        <v>1.0398253093480295E-3</v>
      </c>
      <c r="O29" s="9">
        <f t="shared" ref="O29:R29" si="90">O11/O3</f>
        <v>4.6267087276550996E-3</v>
      </c>
      <c r="P29" s="9">
        <f t="shared" si="90"/>
        <v>0.10423181154888472</v>
      </c>
      <c r="Q29" s="9">
        <f t="shared" si="90"/>
        <v>0.10214504596527069</v>
      </c>
      <c r="R29" s="9">
        <f t="shared" si="90"/>
        <v>0.04</v>
      </c>
      <c r="T29" s="9">
        <f t="shared" ref="T29:AJ29" si="91">T11/T3</f>
        <v>1.7408713060886975E-2</v>
      </c>
      <c r="U29" s="9">
        <f t="shared" si="91"/>
        <v>5.0352467270896274E-4</v>
      </c>
      <c r="V29" s="9">
        <f t="shared" si="91"/>
        <v>1.2445550715619165E-4</v>
      </c>
      <c r="W29" s="9">
        <f t="shared" si="91"/>
        <v>2.9614466052541796E-2</v>
      </c>
      <c r="X29" s="9">
        <f t="shared" si="91"/>
        <v>2.838942823017793E-2</v>
      </c>
      <c r="Y29" s="9">
        <f t="shared" si="91"/>
        <v>1.2859767299448868E-2</v>
      </c>
      <c r="Z29" s="9">
        <f t="shared" si="91"/>
        <v>6.2668326179512707E-2</v>
      </c>
      <c r="AA29" s="9">
        <f t="shared" si="91"/>
        <v>0.01</v>
      </c>
      <c r="AB29" s="9">
        <f t="shared" si="91"/>
        <v>0.01</v>
      </c>
      <c r="AC29" s="9">
        <f t="shared" si="91"/>
        <v>0.01</v>
      </c>
      <c r="AD29" s="9">
        <f t="shared" si="91"/>
        <v>0.01</v>
      </c>
      <c r="AE29" s="9">
        <f t="shared" si="91"/>
        <v>0.01</v>
      </c>
      <c r="AF29" s="9">
        <f t="shared" si="91"/>
        <v>0.01</v>
      </c>
      <c r="AG29" s="9">
        <f t="shared" si="91"/>
        <v>0.01</v>
      </c>
      <c r="AH29" s="9">
        <f t="shared" si="91"/>
        <v>0.01</v>
      </c>
      <c r="AI29" s="9">
        <f t="shared" si="91"/>
        <v>0.01</v>
      </c>
      <c r="AJ29" s="9">
        <f t="shared" si="91"/>
        <v>1.0000000000000002E-2</v>
      </c>
      <c r="AM29" t="s">
        <v>54</v>
      </c>
      <c r="AN29" s="11">
        <f>Main!D3</f>
        <v>347.6</v>
      </c>
    </row>
    <row r="30" spans="1:147" x14ac:dyDescent="0.3">
      <c r="B30" t="s">
        <v>46</v>
      </c>
      <c r="C30" s="9">
        <f t="shared" ref="C30:F30" si="92">C13/C3</f>
        <v>0.67658308542286438</v>
      </c>
      <c r="D30" s="9">
        <f t="shared" si="92"/>
        <v>0.66796494644595905</v>
      </c>
      <c r="E30" s="9">
        <f t="shared" si="92"/>
        <v>0.57017182130584187</v>
      </c>
      <c r="F30" s="9">
        <f t="shared" si="92"/>
        <v>0.6532682676255297</v>
      </c>
      <c r="G30" s="9">
        <f>G13/G3</f>
        <v>0.64138104838709675</v>
      </c>
      <c r="H30" s="9">
        <f t="shared" ref="H30:N30" si="93">H13/H3</f>
        <v>0.66825297432686281</v>
      </c>
      <c r="I30" s="9">
        <f t="shared" si="93"/>
        <v>0.6184907054044072</v>
      </c>
      <c r="J30" s="9">
        <f t="shared" si="93"/>
        <v>0.64467417818561967</v>
      </c>
      <c r="K30" s="9">
        <f t="shared" si="93"/>
        <v>0.68959925874449846</v>
      </c>
      <c r="L30" s="9">
        <f t="shared" si="93"/>
        <v>0.61014245014245017</v>
      </c>
      <c r="M30" s="9">
        <f t="shared" si="93"/>
        <v>0.66719101123595503</v>
      </c>
      <c r="N30" s="9">
        <f t="shared" si="93"/>
        <v>0.660185088905064</v>
      </c>
      <c r="O30" s="9">
        <f t="shared" ref="O30:R30" si="94">O13/O3</f>
        <v>0.65552050473186119</v>
      </c>
      <c r="P30" s="9">
        <f t="shared" si="94"/>
        <v>0.56649989576818849</v>
      </c>
      <c r="Q30" s="9">
        <f t="shared" si="94"/>
        <v>0.55922982635342178</v>
      </c>
      <c r="R30" s="9">
        <f t="shared" si="94"/>
        <v>0.59975889658014081</v>
      </c>
      <c r="T30" s="9">
        <f t="shared" ref="T30:AJ30" si="95">T13/T3</f>
        <v>0.65287026156591377</v>
      </c>
      <c r="U30" s="9">
        <f t="shared" si="95"/>
        <v>0.64455735603771858</v>
      </c>
      <c r="V30" s="9">
        <f t="shared" si="95"/>
        <v>0.65563161169881767</v>
      </c>
      <c r="W30" s="9">
        <f t="shared" si="95"/>
        <v>0.64186284544524053</v>
      </c>
      <c r="X30" s="9">
        <f t="shared" si="95"/>
        <v>0.64312620586163594</v>
      </c>
      <c r="Y30" s="9">
        <f t="shared" si="95"/>
        <v>0.65676668707899566</v>
      </c>
      <c r="Z30" s="9">
        <f t="shared" si="95"/>
        <v>0.59502296717119829</v>
      </c>
      <c r="AA30" s="9">
        <f t="shared" si="95"/>
        <v>0.69200497684035178</v>
      </c>
      <c r="AB30" s="9">
        <f t="shared" si="95"/>
        <v>0.69308828116064514</v>
      </c>
      <c r="AC30" s="9">
        <f t="shared" si="95"/>
        <v>0.69352401383179896</v>
      </c>
      <c r="AD30" s="9">
        <f t="shared" si="95"/>
        <v>0.69352401383179896</v>
      </c>
      <c r="AE30" s="9">
        <f t="shared" si="95"/>
        <v>0.69417573918638931</v>
      </c>
      <c r="AF30" s="9">
        <f t="shared" si="95"/>
        <v>0.69482107507671864</v>
      </c>
      <c r="AG30" s="9">
        <f t="shared" si="95"/>
        <v>0.69546008414459404</v>
      </c>
      <c r="AH30" s="9">
        <f t="shared" si="95"/>
        <v>0.69609282841768627</v>
      </c>
      <c r="AI30" s="9">
        <f t="shared" si="95"/>
        <v>0.69671936931555212</v>
      </c>
      <c r="AJ30" s="9">
        <f t="shared" si="95"/>
        <v>0.6973397676555958</v>
      </c>
      <c r="AM30" s="6" t="s">
        <v>55</v>
      </c>
      <c r="AN30" s="10">
        <f>AN28/AN29-1</f>
        <v>-0.34683629154151641</v>
      </c>
    </row>
    <row r="31" spans="1:147" x14ac:dyDescent="0.3">
      <c r="B31" t="s">
        <v>23</v>
      </c>
      <c r="C31" s="9">
        <f t="shared" ref="C31:F31" si="96">C17/C16</f>
        <v>0.171125178680825</v>
      </c>
      <c r="D31" s="9">
        <f t="shared" si="96"/>
        <v>0.19704975781594011</v>
      </c>
      <c r="E31" s="9">
        <f t="shared" si="96"/>
        <v>0.10916688430399582</v>
      </c>
      <c r="F31" s="9">
        <f t="shared" si="96"/>
        <v>0.19063270336894</v>
      </c>
      <c r="G31" s="9">
        <f>G17/G16</f>
        <v>0.16033755274261605</v>
      </c>
      <c r="H31" s="9">
        <f t="shared" ref="H31:N31" si="97">H17/H16</f>
        <v>0.19344448654793484</v>
      </c>
      <c r="I31" s="9">
        <f t="shared" si="97"/>
        <v>0.19238243295763699</v>
      </c>
      <c r="J31" s="9">
        <f t="shared" si="97"/>
        <v>0.16944641589779985</v>
      </c>
      <c r="K31" s="9">
        <f t="shared" si="97"/>
        <v>0.1906653426017875</v>
      </c>
      <c r="L31" s="9">
        <f t="shared" si="97"/>
        <v>0.15418102666424813</v>
      </c>
      <c r="M31" s="9">
        <f t="shared" si="97"/>
        <v>0.18650859909834697</v>
      </c>
      <c r="N31" s="9">
        <f t="shared" si="97"/>
        <v>0.16541117388575016</v>
      </c>
      <c r="O31" s="9">
        <f t="shared" ref="O31:R31" si="98">O17/O16</f>
        <v>0.17435483870967741</v>
      </c>
      <c r="P31" s="9">
        <f t="shared" si="98"/>
        <v>0.15833026848105922</v>
      </c>
      <c r="Q31" s="9">
        <f t="shared" si="98"/>
        <v>0.17</v>
      </c>
      <c r="R31" s="9">
        <f t="shared" si="98"/>
        <v>0.17000000000000004</v>
      </c>
      <c r="T31" s="9">
        <f t="shared" ref="T31:AJ31" si="99">T17/T16</f>
        <v>0.18839021768341843</v>
      </c>
      <c r="U31" s="9">
        <f t="shared" si="99"/>
        <v>0.212037708484409</v>
      </c>
      <c r="V31" s="9">
        <f t="shared" si="99"/>
        <v>0.23358027765672665</v>
      </c>
      <c r="W31" s="9">
        <f t="shared" si="99"/>
        <v>0.16977282752536391</v>
      </c>
      <c r="X31" s="9">
        <f t="shared" si="99"/>
        <v>0.17892285021628559</v>
      </c>
      <c r="Y31" s="9">
        <f t="shared" si="99"/>
        <v>0.17448569994982438</v>
      </c>
      <c r="Z31" s="9">
        <f t="shared" si="99"/>
        <v>0.16843616586472632</v>
      </c>
      <c r="AA31" s="9">
        <f t="shared" si="99"/>
        <v>0.18000000000000002</v>
      </c>
      <c r="AB31" s="9">
        <f t="shared" si="99"/>
        <v>0.18</v>
      </c>
      <c r="AC31" s="9">
        <f t="shared" si="99"/>
        <v>0.18</v>
      </c>
      <c r="AD31" s="9">
        <f t="shared" si="99"/>
        <v>0.18</v>
      </c>
      <c r="AE31" s="9">
        <f t="shared" si="99"/>
        <v>0.18</v>
      </c>
      <c r="AF31" s="9">
        <f t="shared" si="99"/>
        <v>0.18</v>
      </c>
      <c r="AG31" s="9">
        <f t="shared" si="99"/>
        <v>0.18</v>
      </c>
      <c r="AH31" s="9">
        <f t="shared" si="99"/>
        <v>0.18</v>
      </c>
      <c r="AI31" s="9">
        <f t="shared" si="99"/>
        <v>0.18</v>
      </c>
      <c r="AJ31" s="9">
        <f t="shared" si="99"/>
        <v>0.18</v>
      </c>
      <c r="AM31" t="s">
        <v>56</v>
      </c>
      <c r="AN31" s="4" t="s">
        <v>62</v>
      </c>
    </row>
    <row r="32" spans="1:147" x14ac:dyDescent="0.3">
      <c r="B32" t="s">
        <v>57</v>
      </c>
      <c r="C32" s="9">
        <f>C18/C3</f>
        <v>0.57501062473438169</v>
      </c>
      <c r="D32" s="9">
        <f t="shared" ref="D32:N32" si="100">D18/D3</f>
        <v>0.50730282375851998</v>
      </c>
      <c r="E32" s="9">
        <f t="shared" si="100"/>
        <v>0.46886597938144331</v>
      </c>
      <c r="F32" s="9">
        <f t="shared" si="100"/>
        <v>0.50597149094644922</v>
      </c>
      <c r="G32" s="9">
        <f t="shared" si="100"/>
        <v>0.52658770161290325</v>
      </c>
      <c r="H32" s="9">
        <f t="shared" si="100"/>
        <v>0.53312460864120226</v>
      </c>
      <c r="I32" s="9">
        <f t="shared" si="100"/>
        <v>0.5116336328942509</v>
      </c>
      <c r="J32" s="9">
        <f t="shared" si="100"/>
        <v>0.54373330235799744</v>
      </c>
      <c r="K32" s="9">
        <f t="shared" si="100"/>
        <v>0.56636553161918002</v>
      </c>
      <c r="L32" s="9">
        <f t="shared" si="100"/>
        <v>0.53139601139601145</v>
      </c>
      <c r="M32" s="9">
        <f t="shared" si="100"/>
        <v>0.54741573033707869</v>
      </c>
      <c r="N32" s="9">
        <f t="shared" si="100"/>
        <v>0.5529790995112821</v>
      </c>
      <c r="O32" s="9">
        <f t="shared" ref="O32:R32" si="101">O18/O3</f>
        <v>0.5382754994742377</v>
      </c>
      <c r="P32" s="9">
        <f t="shared" si="101"/>
        <v>0.47706900145924536</v>
      </c>
      <c r="Q32" s="9">
        <f t="shared" si="101"/>
        <v>0.46543246169560759</v>
      </c>
      <c r="R32" s="9">
        <f t="shared" si="101"/>
        <v>0.49900977435790783</v>
      </c>
      <c r="T32" s="9">
        <f t="shared" ref="T32:AJ32" si="102">T18/T3</f>
        <v>0.52574313443878662</v>
      </c>
      <c r="U32" s="9">
        <f t="shared" si="102"/>
        <v>0.49739082669596263</v>
      </c>
      <c r="V32" s="9">
        <f t="shared" si="102"/>
        <v>0.51072391619995849</v>
      </c>
      <c r="W32" s="9">
        <f t="shared" si="102"/>
        <v>0.51371545547594677</v>
      </c>
      <c r="X32" s="9">
        <f t="shared" si="102"/>
        <v>0.52898661684990655</v>
      </c>
      <c r="Y32" s="9">
        <f t="shared" si="102"/>
        <v>0.54954628959527918</v>
      </c>
      <c r="Z32" s="9">
        <f t="shared" si="102"/>
        <v>0.49477835805716536</v>
      </c>
      <c r="AA32" s="9">
        <f t="shared" si="102"/>
        <v>0.56714660741878986</v>
      </c>
      <c r="AB32" s="9">
        <f t="shared" si="102"/>
        <v>0.56777381894951029</v>
      </c>
      <c r="AC32" s="9">
        <f t="shared" si="102"/>
        <v>0.56786953545121543</v>
      </c>
      <c r="AD32" s="9">
        <f t="shared" si="102"/>
        <v>0.56760247497039562</v>
      </c>
      <c r="AE32" s="9">
        <f t="shared" si="102"/>
        <v>0.56786975044951638</v>
      </c>
      <c r="AF32" s="9">
        <f t="shared" si="102"/>
        <v>0.56813168206809961</v>
      </c>
      <c r="AG32" s="9">
        <f t="shared" si="102"/>
        <v>0.56838829551583026</v>
      </c>
      <c r="AH32" s="9">
        <f t="shared" si="102"/>
        <v>0.56863961596875767</v>
      </c>
      <c r="AI32" s="9">
        <f t="shared" si="102"/>
        <v>0.56888566809176555</v>
      </c>
      <c r="AJ32" s="9">
        <f t="shared" si="102"/>
        <v>0.5691264760409912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2024-07-18T14:49:50Z</dcterms:created>
  <dcterms:modified xsi:type="dcterms:W3CDTF">2025-05-04T12:34:46Z</dcterms:modified>
</cp:coreProperties>
</file>